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65" activeTab="1"/>
  </bookViews>
  <sheets>
    <sheet name="Detailed analysis by grant year" sheetId="1" r:id="rId1"/>
    <sheet name="Claim year comparison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9" i="2" l="1"/>
  <c r="N39" i="2"/>
  <c r="L39" i="2"/>
  <c r="J39" i="2"/>
  <c r="H39" i="2"/>
  <c r="F39" i="2"/>
  <c r="P14" i="2"/>
  <c r="P12" i="2"/>
  <c r="P6" i="2"/>
  <c r="R6" i="2"/>
  <c r="J98" i="1"/>
  <c r="I98" i="1"/>
  <c r="P10" i="2"/>
  <c r="H98" i="1"/>
  <c r="P8" i="2"/>
  <c r="R8" i="2"/>
  <c r="G98" i="1"/>
  <c r="L96" i="1"/>
  <c r="K96" i="1"/>
  <c r="L95" i="1"/>
  <c r="K95" i="1"/>
  <c r="L94" i="1"/>
  <c r="K94" i="1"/>
  <c r="L93" i="1"/>
  <c r="K93" i="1"/>
  <c r="L92" i="1"/>
  <c r="K92" i="1"/>
  <c r="L91" i="1"/>
  <c r="K91" i="1"/>
  <c r="K98" i="1"/>
  <c r="L90" i="1"/>
  <c r="L89" i="1"/>
  <c r="L102" i="1"/>
  <c r="P43" i="2"/>
  <c r="C22" i="1"/>
  <c r="D37" i="2"/>
  <c r="D36" i="2"/>
  <c r="D35" i="2"/>
  <c r="D34" i="2"/>
  <c r="D33" i="2"/>
  <c r="D32" i="2"/>
  <c r="D31" i="2"/>
  <c r="D30" i="2"/>
  <c r="N12" i="2"/>
  <c r="R12" i="2"/>
  <c r="L12" i="2"/>
  <c r="H41" i="2"/>
  <c r="F41" i="2"/>
  <c r="D39" i="2"/>
  <c r="R14" i="2"/>
  <c r="L70" i="1"/>
  <c r="L69" i="1"/>
  <c r="L68" i="1"/>
  <c r="L67" i="1"/>
  <c r="L66" i="1"/>
  <c r="L65" i="1"/>
  <c r="L64" i="1"/>
  <c r="L63" i="1"/>
  <c r="S44" i="1"/>
  <c r="S43" i="1"/>
  <c r="S42" i="1"/>
  <c r="S41" i="1"/>
  <c r="S40" i="1"/>
  <c r="S39" i="1"/>
  <c r="S38" i="1"/>
  <c r="S37" i="1"/>
  <c r="L43" i="1"/>
  <c r="L42" i="1"/>
  <c r="L41" i="1"/>
  <c r="L39" i="1"/>
  <c r="L38" i="1"/>
  <c r="L37" i="1"/>
  <c r="L40" i="1"/>
  <c r="C21" i="1"/>
  <c r="P41" i="2"/>
  <c r="D41" i="2"/>
  <c r="L41" i="2"/>
  <c r="N41" i="2"/>
  <c r="J41" i="2"/>
  <c r="S70" i="1"/>
  <c r="S69" i="1"/>
  <c r="S68" i="1"/>
  <c r="S67" i="1"/>
  <c r="S66" i="1"/>
  <c r="S65" i="1"/>
  <c r="S64" i="1"/>
  <c r="S63" i="1"/>
  <c r="R70" i="1"/>
  <c r="R69" i="1"/>
  <c r="R68" i="1"/>
  <c r="R67" i="1"/>
  <c r="R66" i="1"/>
  <c r="R65" i="1"/>
  <c r="R72" i="1"/>
  <c r="S76" i="1"/>
  <c r="N43" i="2"/>
  <c r="P72" i="1"/>
  <c r="N10" i="2"/>
  <c r="O72" i="1"/>
  <c r="N8" i="2"/>
  <c r="Q72" i="1"/>
  <c r="N72" i="1"/>
  <c r="N6" i="2"/>
  <c r="N50" i="1"/>
  <c r="G76" i="1"/>
  <c r="P76" i="1"/>
  <c r="N14" i="2"/>
  <c r="J72" i="1"/>
  <c r="I72" i="1"/>
  <c r="L10" i="2"/>
  <c r="H72" i="1"/>
  <c r="G72" i="1"/>
  <c r="L6" i="2"/>
  <c r="K70" i="1"/>
  <c r="K69" i="1"/>
  <c r="K68" i="1"/>
  <c r="K67" i="1"/>
  <c r="K66" i="1"/>
  <c r="L76" i="1"/>
  <c r="L43" i="2"/>
  <c r="K65" i="1"/>
  <c r="P52" i="1"/>
  <c r="J12" i="2"/>
  <c r="H52" i="1"/>
  <c r="H12" i="2"/>
  <c r="G50" i="1"/>
  <c r="Q46" i="1"/>
  <c r="P46" i="1"/>
  <c r="J10" i="2"/>
  <c r="O46" i="1"/>
  <c r="J8" i="2"/>
  <c r="N46" i="1"/>
  <c r="J6" i="2"/>
  <c r="J46" i="1"/>
  <c r="I46" i="1"/>
  <c r="H10" i="2"/>
  <c r="H46" i="1"/>
  <c r="H8" i="2"/>
  <c r="G46" i="1"/>
  <c r="H6" i="2"/>
  <c r="R44" i="1"/>
  <c r="R43" i="1"/>
  <c r="K43" i="1"/>
  <c r="R42" i="1"/>
  <c r="K42" i="1"/>
  <c r="R41" i="1"/>
  <c r="K41" i="1"/>
  <c r="R40" i="1"/>
  <c r="K40" i="1"/>
  <c r="S50" i="1"/>
  <c r="J43" i="2"/>
  <c r="R39" i="1"/>
  <c r="L50" i="1"/>
  <c r="H43" i="2"/>
  <c r="K39" i="1"/>
  <c r="O26" i="1"/>
  <c r="F12" i="2"/>
  <c r="H26" i="1"/>
  <c r="D12" i="2"/>
  <c r="N24" i="1"/>
  <c r="G24" i="1"/>
  <c r="Q21" i="1"/>
  <c r="P21" i="1"/>
  <c r="O21" i="1"/>
  <c r="N21" i="1"/>
  <c r="F6" i="2"/>
  <c r="J21" i="1"/>
  <c r="I21" i="1"/>
  <c r="H21" i="1"/>
  <c r="G21" i="1"/>
  <c r="D6" i="2"/>
  <c r="R19" i="1"/>
  <c r="L19" i="1"/>
  <c r="K19" i="1"/>
  <c r="S18" i="1"/>
  <c r="R18" i="1"/>
  <c r="L18" i="1"/>
  <c r="K18" i="1"/>
  <c r="S17" i="1"/>
  <c r="R17" i="1"/>
  <c r="L17" i="1"/>
  <c r="K17" i="1"/>
  <c r="S16" i="1"/>
  <c r="R16" i="1"/>
  <c r="L16" i="1"/>
  <c r="K16" i="1"/>
  <c r="S15" i="1"/>
  <c r="R15" i="1"/>
  <c r="L15" i="1"/>
  <c r="K15" i="1"/>
  <c r="S14" i="1"/>
  <c r="R14" i="1"/>
  <c r="L14" i="1"/>
  <c r="L24" i="1"/>
  <c r="D43" i="2"/>
  <c r="K14" i="1"/>
  <c r="K21" i="1"/>
  <c r="S13" i="1"/>
  <c r="L13" i="1"/>
  <c r="S12" i="1"/>
  <c r="L12" i="1"/>
  <c r="D8" i="2"/>
  <c r="D10" i="2"/>
  <c r="I76" i="1"/>
  <c r="L14" i="2"/>
  <c r="L8" i="2"/>
  <c r="R21" i="1"/>
  <c r="R96" i="1"/>
  <c r="F8" i="2"/>
  <c r="F10" i="2"/>
  <c r="S24" i="1"/>
  <c r="F43" i="2"/>
  <c r="K46" i="1"/>
  <c r="R46" i="1"/>
  <c r="P50" i="1"/>
  <c r="J14" i="2"/>
  <c r="K72" i="1"/>
</calcChain>
</file>

<file path=xl/comments1.xml><?xml version="1.0" encoding="utf-8"?>
<comments xmlns="http://schemas.openxmlformats.org/spreadsheetml/2006/main">
  <authors>
    <author>Rod Campbell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Claims paid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Though year 1 and 2 may not be assessed, use the value declared by applicant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The export income is not required for performance test no export income applies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See above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see above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The export income is not required for performance test no export income applies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The export income is not required for performance test no export income applies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Rod Campbell:</t>
        </r>
        <r>
          <rPr>
            <sz val="9"/>
            <color indexed="81"/>
            <rFont val="Tahoma"/>
            <family val="2"/>
          </rPr>
          <t xml:space="preserve">
The export income is not required for performance test no export income applies</t>
        </r>
      </text>
    </comment>
  </commentList>
</comments>
</file>

<file path=xl/sharedStrings.xml><?xml version="1.0" encoding="utf-8"?>
<sst xmlns="http://schemas.openxmlformats.org/spreadsheetml/2006/main" count="173" uniqueCount="74">
  <si>
    <t>Financial Year  1</t>
  </si>
  <si>
    <t>2011/12</t>
  </si>
  <si>
    <t>Financial Year 2</t>
  </si>
  <si>
    <t>2012/13</t>
  </si>
  <si>
    <t>EE:Grant</t>
  </si>
  <si>
    <t xml:space="preserve"> </t>
  </si>
  <si>
    <t>Claims</t>
  </si>
  <si>
    <t>Value Assessed</t>
  </si>
  <si>
    <t>Paid Grant *</t>
  </si>
  <si>
    <t>Export Earnings</t>
  </si>
  <si>
    <t xml:space="preserve">Min EE </t>
  </si>
  <si>
    <t>$EE:$Grant</t>
  </si>
  <si>
    <t>Approved Bodies</t>
  </si>
  <si>
    <t>Year</t>
  </si>
  <si>
    <t>Totals</t>
  </si>
  <si>
    <t>EE Test</t>
  </si>
  <si>
    <t>AV paid to ABs</t>
  </si>
  <si>
    <t>Surplus</t>
  </si>
  <si>
    <t>Budget Appropriation (Minus Administration)</t>
  </si>
  <si>
    <t>$150.4M less 5%</t>
  </si>
  <si>
    <r>
      <t>(Note: funding for</t>
    </r>
    <r>
      <rPr>
        <b/>
        <sz val="11"/>
        <color rgb="FF00B050"/>
        <rFont val="Calibri"/>
        <family val="2"/>
        <scheme val="minor"/>
      </rPr>
      <t xml:space="preserve"> administration is capped at 5%</t>
    </r>
    <r>
      <rPr>
        <sz val="11"/>
        <color theme="1"/>
        <rFont val="Calibri"/>
        <family val="2"/>
        <scheme val="minor"/>
      </rPr>
      <t xml:space="preserve"> of total appropriation)</t>
    </r>
  </si>
  <si>
    <t>Note: Funds carried over from previous year's appropriation to cover funding shortfall</t>
  </si>
  <si>
    <t>Financial Year 3</t>
  </si>
  <si>
    <t>2013/14</t>
  </si>
  <si>
    <t>Financial Year 4</t>
  </si>
  <si>
    <t>2014/15</t>
  </si>
  <si>
    <t>Reduced payout</t>
  </si>
  <si>
    <t>Budget shortfall</t>
  </si>
  <si>
    <t>EXTRA $50M - but spread over 4 years</t>
  </si>
  <si>
    <t>$22M DEFICIT BUT $9M C/F from prior year</t>
  </si>
  <si>
    <t>Note: $9m of funding was carried over from previous year's appropriation)</t>
  </si>
  <si>
    <t>Financial Year 5</t>
  </si>
  <si>
    <t>2015/16</t>
  </si>
  <si>
    <t>Financial Year</t>
  </si>
  <si>
    <t>Note: No funds carried over from prevous year's appropriation</t>
  </si>
  <si>
    <t xml:space="preserve"> Analysis of EMDG program (performance and payout )</t>
  </si>
  <si>
    <t xml:space="preserve">2016/17 </t>
  </si>
  <si>
    <t>Grant Recipients</t>
  </si>
  <si>
    <t>2016/17</t>
  </si>
  <si>
    <t>ECAI</t>
  </si>
  <si>
    <t>Detailed Analysis of EMDG 2011/12 to 2016/17 ( Data Source : Austrade )</t>
  </si>
  <si>
    <t>EMDG claims processed</t>
  </si>
  <si>
    <t>Value of claims paid</t>
  </si>
  <si>
    <t>Value of claims assessed</t>
  </si>
  <si>
    <t>Budget</t>
  </si>
  <si>
    <t>2017/18</t>
  </si>
  <si>
    <t>Year 3 applicants</t>
  </si>
  <si>
    <t>Year 4 applicants</t>
  </si>
  <si>
    <t>Year 5 applicants</t>
  </si>
  <si>
    <t>Year 6  applicants</t>
  </si>
  <si>
    <t>Year 7 applicants</t>
  </si>
  <si>
    <t>Year 8 applicants</t>
  </si>
  <si>
    <r>
      <rPr>
        <sz val="11"/>
        <color rgb="FF0070C0"/>
        <rFont val="Calibri"/>
        <family val="2"/>
        <scheme val="minor"/>
      </rPr>
      <t>Export performance Tes</t>
    </r>
    <r>
      <rPr>
        <sz val="11"/>
        <color theme="1"/>
        <rFont val="Calibri"/>
        <family val="2"/>
        <scheme val="minor"/>
      </rPr>
      <t>t from Year 3 / $ of EMDG</t>
    </r>
  </si>
  <si>
    <t xml:space="preserve">Budget Shortfall </t>
  </si>
  <si>
    <r>
      <t>Year 1 applicants</t>
    </r>
    <r>
      <rPr>
        <sz val="11"/>
        <color theme="1"/>
        <rFont val="Calibri"/>
        <family val="2"/>
      </rPr>
      <t>①</t>
    </r>
  </si>
  <si>
    <r>
      <t>Export Income return by Applicants</t>
    </r>
    <r>
      <rPr>
        <sz val="11"/>
        <color theme="1"/>
        <rFont val="Calibri"/>
        <family val="2"/>
      </rPr>
      <t>③</t>
    </r>
  </si>
  <si>
    <t>① Year 1 applicants do not have income test</t>
  </si>
  <si>
    <t>② Year 2 applicants do not have income test</t>
  </si>
  <si>
    <t>③ Approved bodies excluded from income test</t>
  </si>
  <si>
    <r>
      <t>Year 2 applicants</t>
    </r>
    <r>
      <rPr>
        <sz val="11"/>
        <color theme="1"/>
        <rFont val="Calibri"/>
        <family val="2"/>
      </rPr>
      <t>②</t>
    </r>
  </si>
  <si>
    <t>Claim processing data</t>
  </si>
  <si>
    <t xml:space="preserve">Claim payout impact from budget short Fall </t>
  </si>
  <si>
    <t>Max Grant Entitlment</t>
  </si>
  <si>
    <t>First Instalment ( Ministerial discretion )</t>
  </si>
  <si>
    <t>Second Instalment payout %</t>
  </si>
  <si>
    <t xml:space="preserve">Max Grant after budget shorfall adjustment </t>
  </si>
  <si>
    <t xml:space="preserve">2017/18 </t>
  </si>
  <si>
    <t>2018/19</t>
  </si>
  <si>
    <t xml:space="preserve">  $      67 M</t>
  </si>
  <si>
    <r>
      <rPr>
        <b/>
        <sz val="14"/>
        <color rgb="FF7030A0"/>
        <rFont val="Calibri"/>
        <family val="2"/>
        <scheme val="minor"/>
      </rPr>
      <t>Actual Export Income generated</t>
    </r>
    <r>
      <rPr>
        <b/>
        <sz val="14"/>
        <color theme="1"/>
        <rFont val="Calibri"/>
        <family val="2"/>
        <scheme val="minor"/>
      </rPr>
      <t>/$ of EMDG</t>
    </r>
  </si>
  <si>
    <t>Aggregate Export Income by EMDG applicants</t>
  </si>
  <si>
    <t>Average Min export performance required.</t>
  </si>
  <si>
    <r>
      <t>EST</t>
    </r>
    <r>
      <rPr>
        <b/>
        <sz val="11"/>
        <color theme="1"/>
        <rFont val="Calibri"/>
        <family val="2"/>
      </rPr>
      <t>④</t>
    </r>
  </si>
  <si>
    <t>④ The figures in green shade are projected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</si>
</sst>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&quot;$&quot;#,##0"/>
    <numFmt numFmtId="167" formatCode="_-&quot;$&quot;* #,##0_-;\-&quot;$&quot;* #,##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4" fillId="0" borderId="0"/>
  </cellStyleXfs>
  <cellXfs count="131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1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6" xfId="1" applyNumberFormat="1" applyFont="1" applyBorder="1"/>
    <xf numFmtId="165" fontId="0" fillId="0" borderId="5" xfId="0" applyNumberFormat="1" applyBorder="1"/>
    <xf numFmtId="165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9" xfId="1" applyNumberFormat="1" applyFont="1" applyBorder="1"/>
    <xf numFmtId="166" fontId="0" fillId="0" borderId="8" xfId="0" applyNumberFormat="1" applyBorder="1"/>
    <xf numFmtId="165" fontId="0" fillId="0" borderId="10" xfId="0" applyNumberFormat="1" applyBorder="1"/>
    <xf numFmtId="165" fontId="0" fillId="0" borderId="8" xfId="0" applyNumberFormat="1" applyBorder="1"/>
    <xf numFmtId="9" fontId="0" fillId="0" borderId="0" xfId="0" applyNumberFormat="1"/>
    <xf numFmtId="166" fontId="0" fillId="0" borderId="8" xfId="0" applyNumberFormat="1" applyFill="1" applyBorder="1"/>
    <xf numFmtId="0" fontId="0" fillId="3" borderId="10" xfId="0" applyFill="1" applyBorder="1"/>
    <xf numFmtId="166" fontId="0" fillId="0" borderId="10" xfId="0" applyNumberFormat="1" applyBorder="1"/>
    <xf numFmtId="166" fontId="0" fillId="3" borderId="8" xfId="0" applyNumberFormat="1" applyFill="1" applyBorder="1"/>
    <xf numFmtId="166" fontId="0" fillId="4" borderId="8" xfId="0" applyNumberFormat="1" applyFill="1" applyBorder="1"/>
    <xf numFmtId="0" fontId="0" fillId="5" borderId="10" xfId="0" applyFill="1" applyBorder="1"/>
    <xf numFmtId="166" fontId="0" fillId="6" borderId="8" xfId="0" applyNumberFormat="1" applyFill="1" applyBorder="1"/>
    <xf numFmtId="10" fontId="0" fillId="0" borderId="0" xfId="0" applyNumberFormat="1"/>
    <xf numFmtId="166" fontId="0" fillId="7" borderId="11" xfId="0" applyNumberFormat="1" applyFill="1" applyBorder="1"/>
    <xf numFmtId="0" fontId="0" fillId="0" borderId="12" xfId="0" applyBorder="1"/>
    <xf numFmtId="0" fontId="0" fillId="7" borderId="13" xfId="0" applyFill="1" applyBorder="1"/>
    <xf numFmtId="164" fontId="0" fillId="0" borderId="12" xfId="1" applyNumberFormat="1" applyFont="1" applyBorder="1"/>
    <xf numFmtId="165" fontId="0" fillId="0" borderId="11" xfId="0" applyNumberFormat="1" applyBorder="1"/>
    <xf numFmtId="166" fontId="0" fillId="0" borderId="13" xfId="0" applyNumberFormat="1" applyFont="1" applyBorder="1"/>
    <xf numFmtId="165" fontId="0" fillId="0" borderId="13" xfId="0" applyNumberFormat="1" applyBorder="1"/>
    <xf numFmtId="166" fontId="0" fillId="0" borderId="11" xfId="0" applyNumberFormat="1" applyBorder="1"/>
    <xf numFmtId="166" fontId="0" fillId="6" borderId="11" xfId="0" applyNumberFormat="1" applyFill="1" applyBorder="1"/>
    <xf numFmtId="166" fontId="3" fillId="0" borderId="13" xfId="0" applyNumberFormat="1" applyFont="1" applyBorder="1"/>
    <xf numFmtId="0" fontId="0" fillId="0" borderId="13" xfId="0" applyBorder="1"/>
    <xf numFmtId="0" fontId="0" fillId="0" borderId="11" xfId="0" applyBorder="1"/>
    <xf numFmtId="164" fontId="0" fillId="0" borderId="0" xfId="1" applyNumberFormat="1" applyFont="1"/>
    <xf numFmtId="0" fontId="0" fillId="0" borderId="0" xfId="0" applyBorder="1"/>
    <xf numFmtId="164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164" fontId="0" fillId="0" borderId="0" xfId="0" applyNumberFormat="1" applyBorder="1"/>
    <xf numFmtId="0" fontId="0" fillId="0" borderId="14" xfId="0" applyBorder="1"/>
    <xf numFmtId="10" fontId="0" fillId="0" borderId="14" xfId="0" applyNumberFormat="1" applyBorder="1"/>
    <xf numFmtId="0" fontId="5" fillId="0" borderId="0" xfId="0" applyFont="1"/>
    <xf numFmtId="44" fontId="5" fillId="8" borderId="4" xfId="2" applyFont="1" applyFill="1" applyBorder="1"/>
    <xf numFmtId="166" fontId="0" fillId="0" borderId="9" xfId="0" applyNumberFormat="1" applyBorder="1"/>
    <xf numFmtId="166" fontId="6" fillId="0" borderId="0" xfId="0" applyNumberFormat="1" applyFont="1" applyBorder="1"/>
    <xf numFmtId="0" fontId="3" fillId="0" borderId="0" xfId="0" applyFont="1"/>
    <xf numFmtId="166" fontId="0" fillId="0" borderId="0" xfId="0" applyNumberFormat="1" applyBorder="1"/>
    <xf numFmtId="3" fontId="0" fillId="0" borderId="0" xfId="0" applyNumberFormat="1" applyBorder="1"/>
    <xf numFmtId="0" fontId="0" fillId="0" borderId="15" xfId="0" applyBorder="1"/>
    <xf numFmtId="0" fontId="7" fillId="8" borderId="15" xfId="0" applyFont="1" applyFill="1" applyBorder="1"/>
    <xf numFmtId="0" fontId="0" fillId="8" borderId="15" xfId="0" applyFill="1" applyBorder="1"/>
    <xf numFmtId="0" fontId="0" fillId="8" borderId="13" xfId="0" applyFill="1" applyBorder="1"/>
    <xf numFmtId="0" fontId="3" fillId="0" borderId="0" xfId="0" applyFont="1" applyBorder="1"/>
    <xf numFmtId="166" fontId="0" fillId="0" borderId="0" xfId="0" applyNumberFormat="1"/>
    <xf numFmtId="0" fontId="9" fillId="0" borderId="16" xfId="3" applyFont="1" applyFill="1" applyBorder="1" applyAlignment="1">
      <alignment horizontal="right" wrapText="1"/>
    </xf>
    <xf numFmtId="0" fontId="9" fillId="0" borderId="17" xfId="3" applyFont="1" applyFill="1" applyBorder="1" applyAlignment="1">
      <alignment horizontal="right" wrapText="1"/>
    </xf>
    <xf numFmtId="166" fontId="0" fillId="0" borderId="11" xfId="0" applyNumberFormat="1" applyFont="1" applyBorder="1"/>
    <xf numFmtId="0" fontId="2" fillId="0" borderId="0" xfId="0" applyFont="1" applyBorder="1"/>
    <xf numFmtId="166" fontId="10" fillId="0" borderId="0" xfId="0" applyNumberFormat="1" applyFont="1" applyBorder="1"/>
    <xf numFmtId="0" fontId="0" fillId="0" borderId="2" xfId="0" applyBorder="1"/>
    <xf numFmtId="0" fontId="0" fillId="2" borderId="4" xfId="0" applyFill="1" applyBorder="1"/>
    <xf numFmtId="167" fontId="0" fillId="0" borderId="0" xfId="2" applyNumberFormat="1" applyFont="1"/>
    <xf numFmtId="1" fontId="0" fillId="0" borderId="4" xfId="0" applyNumberFormat="1" applyBorder="1"/>
    <xf numFmtId="0" fontId="0" fillId="0" borderId="13" xfId="0" applyFill="1" applyBorder="1"/>
    <xf numFmtId="0" fontId="0" fillId="0" borderId="0" xfId="0" applyFill="1"/>
    <xf numFmtId="0" fontId="0" fillId="0" borderId="12" xfId="0" applyFill="1" applyBorder="1"/>
    <xf numFmtId="0" fontId="3" fillId="2" borderId="2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165" fontId="0" fillId="0" borderId="9" xfId="0" applyNumberFormat="1" applyBorder="1"/>
    <xf numFmtId="0" fontId="13" fillId="0" borderId="21" xfId="4" applyFont="1" applyFill="1" applyBorder="1" applyAlignment="1">
      <alignment horizontal="right" wrapText="1"/>
    </xf>
    <xf numFmtId="166" fontId="0" fillId="0" borderId="15" xfId="0" applyNumberFormat="1" applyBorder="1"/>
    <xf numFmtId="166" fontId="0" fillId="0" borderId="4" xfId="0" applyNumberFormat="1" applyBorder="1"/>
    <xf numFmtId="166" fontId="0" fillId="9" borderId="8" xfId="0" applyNumberFormat="1" applyFill="1" applyBorder="1"/>
    <xf numFmtId="166" fontId="0" fillId="0" borderId="0" xfId="0" applyNumberFormat="1" applyFill="1" applyBorder="1"/>
    <xf numFmtId="166" fontId="3" fillId="0" borderId="10" xfId="0" applyNumberFormat="1" applyFont="1" applyBorder="1"/>
    <xf numFmtId="166" fontId="3" fillId="10" borderId="4" xfId="0" applyNumberFormat="1" applyFont="1" applyFill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2" fontId="0" fillId="0" borderId="0" xfId="0" applyNumberFormat="1"/>
    <xf numFmtId="44" fontId="0" fillId="0" borderId="0" xfId="0" applyNumberFormat="1"/>
    <xf numFmtId="167" fontId="0" fillId="0" borderId="0" xfId="0" applyNumberFormat="1"/>
    <xf numFmtId="44" fontId="2" fillId="0" borderId="0" xfId="0" applyNumberFormat="1" applyFont="1"/>
    <xf numFmtId="1" fontId="2" fillId="0" borderId="0" xfId="0" applyNumberFormat="1" applyFont="1"/>
    <xf numFmtId="166" fontId="0" fillId="0" borderId="0" xfId="0" applyNumberFormat="1" applyFont="1" applyBorder="1"/>
    <xf numFmtId="165" fontId="0" fillId="0" borderId="0" xfId="0" applyNumberFormat="1"/>
    <xf numFmtId="44" fontId="16" fillId="0" borderId="0" xfId="0" applyNumberFormat="1" applyFont="1"/>
    <xf numFmtId="0" fontId="16" fillId="0" borderId="0" xfId="0" applyFont="1"/>
    <xf numFmtId="0" fontId="18" fillId="0" borderId="0" xfId="0" applyFont="1"/>
    <xf numFmtId="0" fontId="10" fillId="0" borderId="0" xfId="0" applyFont="1"/>
    <xf numFmtId="1" fontId="19" fillId="0" borderId="0" xfId="0" applyNumberFormat="1" applyFont="1" applyBorder="1"/>
    <xf numFmtId="0" fontId="0" fillId="4" borderId="4" xfId="0" applyFill="1" applyBorder="1"/>
    <xf numFmtId="10" fontId="10" fillId="0" borderId="0" xfId="0" applyNumberFormat="1" applyFont="1"/>
    <xf numFmtId="1" fontId="10" fillId="0" borderId="0" xfId="0" applyNumberFormat="1" applyFont="1"/>
    <xf numFmtId="166" fontId="0" fillId="7" borderId="11" xfId="0" applyNumberFormat="1" applyFont="1" applyFill="1" applyBorder="1"/>
    <xf numFmtId="0" fontId="0" fillId="0" borderId="0" xfId="0" applyBorder="1" applyAlignment="1">
      <alignment horizontal="center"/>
    </xf>
    <xf numFmtId="0" fontId="19" fillId="0" borderId="0" xfId="0" applyFont="1"/>
    <xf numFmtId="0" fontId="0" fillId="0" borderId="26" xfId="0" applyBorder="1"/>
    <xf numFmtId="2" fontId="0" fillId="0" borderId="26" xfId="0" applyNumberFormat="1" applyBorder="1"/>
    <xf numFmtId="1" fontId="0" fillId="0" borderId="26" xfId="0" applyNumberFormat="1" applyBorder="1"/>
    <xf numFmtId="1" fontId="19" fillId="0" borderId="26" xfId="0" applyNumberFormat="1" applyFont="1" applyBorder="1"/>
    <xf numFmtId="166" fontId="0" fillId="0" borderId="26" xfId="0" applyNumberFormat="1" applyBorder="1"/>
    <xf numFmtId="166" fontId="21" fillId="0" borderId="26" xfId="0" applyNumberFormat="1" applyFont="1" applyBorder="1"/>
    <xf numFmtId="0" fontId="22" fillId="0" borderId="26" xfId="0" applyFont="1" applyBorder="1"/>
    <xf numFmtId="0" fontId="3" fillId="6" borderId="25" xfId="0" applyFont="1" applyFill="1" applyBorder="1" applyAlignment="1">
      <alignment horizontal="center"/>
    </xf>
    <xf numFmtId="0" fontId="0" fillId="6" borderId="23" xfId="0" applyFill="1" applyBorder="1"/>
    <xf numFmtId="1" fontId="0" fillId="6" borderId="23" xfId="0" applyNumberFormat="1" applyFill="1" applyBorder="1"/>
    <xf numFmtId="167" fontId="2" fillId="6" borderId="23" xfId="0" applyNumberFormat="1" applyFont="1" applyFill="1" applyBorder="1"/>
    <xf numFmtId="1" fontId="19" fillId="6" borderId="24" xfId="0" applyNumberFormat="1" applyFont="1" applyFill="1" applyBorder="1"/>
    <xf numFmtId="1" fontId="19" fillId="6" borderId="22" xfId="0" applyNumberFormat="1" applyFont="1" applyFill="1" applyBorder="1"/>
    <xf numFmtId="166" fontId="20" fillId="6" borderId="23" xfId="0" applyNumberFormat="1" applyFont="1" applyFill="1" applyBorder="1"/>
    <xf numFmtId="10" fontId="10" fillId="6" borderId="23" xfId="0" applyNumberFormat="1" applyFont="1" applyFill="1" applyBorder="1" applyAlignment="1">
      <alignment horizontal="right"/>
    </xf>
    <xf numFmtId="166" fontId="21" fillId="6" borderId="23" xfId="0" applyNumberFormat="1" applyFont="1" applyFill="1" applyBorder="1"/>
    <xf numFmtId="166" fontId="21" fillId="6" borderId="24" xfId="0" applyNumberFormat="1" applyFont="1" applyFill="1" applyBorder="1"/>
    <xf numFmtId="0" fontId="3" fillId="11" borderId="22" xfId="0" applyFont="1" applyFill="1" applyBorder="1" applyAlignment="1">
      <alignment horizontal="center"/>
    </xf>
    <xf numFmtId="166" fontId="0" fillId="0" borderId="23" xfId="0" applyNumberFormat="1" applyFill="1" applyBorder="1"/>
  </cellXfs>
  <cellStyles count="5">
    <cellStyle name="Comma" xfId="1" builtinId="3"/>
    <cellStyle name="Currency" xfId="2" builtinId="4"/>
    <cellStyle name="Normal" xfId="0" builtinId="0"/>
    <cellStyle name="Normal_Sheet1" xfId="3"/>
    <cellStyle name="Normal_Sheet1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105"/>
  <sheetViews>
    <sheetView topLeftCell="A64" workbookViewId="0">
      <selection activeCell="T93" sqref="T93"/>
    </sheetView>
  </sheetViews>
  <sheetFormatPr defaultRowHeight="15" x14ac:dyDescent="0.25"/>
  <cols>
    <col min="7" max="7" width="10.140625" bestFit="1" customWidth="1"/>
    <col min="8" max="8" width="14.42578125" customWidth="1"/>
    <col min="9" max="9" width="12.85546875" bestFit="1" customWidth="1"/>
    <col min="10" max="10" width="14.85546875" customWidth="1"/>
    <col min="11" max="11" width="12.140625" bestFit="1" customWidth="1"/>
    <col min="14" max="14" width="10.140625" bestFit="1" customWidth="1"/>
    <col min="15" max="15" width="15" customWidth="1"/>
    <col min="16" max="16" width="12.140625" bestFit="1" customWidth="1"/>
    <col min="17" max="17" width="14.7109375" customWidth="1"/>
    <col min="18" max="18" width="16.42578125" bestFit="1" customWidth="1"/>
    <col min="19" max="19" width="13.140625" customWidth="1"/>
    <col min="27" max="27" width="41.140625" bestFit="1" customWidth="1"/>
  </cols>
  <sheetData>
    <row r="1" spans="2:19" x14ac:dyDescent="0.25">
      <c r="C1" s="4" t="s">
        <v>39</v>
      </c>
      <c r="D1" s="72" t="s">
        <v>40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5"/>
    </row>
    <row r="3" spans="2:19" ht="18.75" x14ac:dyDescent="0.3">
      <c r="C3" s="1" t="s">
        <v>35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5" spans="2:19" x14ac:dyDescent="0.25">
      <c r="D5" s="4" t="s">
        <v>37</v>
      </c>
      <c r="E5" s="5"/>
      <c r="G5" s="6"/>
      <c r="H5" s="7" t="s">
        <v>0</v>
      </c>
      <c r="I5" s="7"/>
      <c r="J5" s="8" t="s">
        <v>1</v>
      </c>
      <c r="K5" s="6"/>
      <c r="L5" s="9"/>
      <c r="N5" s="6"/>
      <c r="O5" s="7" t="s">
        <v>2</v>
      </c>
      <c r="P5" s="7"/>
      <c r="Q5" s="8" t="s">
        <v>3</v>
      </c>
      <c r="R5" s="6"/>
      <c r="S5" s="9"/>
    </row>
    <row r="7" spans="2:19" x14ac:dyDescent="0.25">
      <c r="C7" t="s">
        <v>4</v>
      </c>
      <c r="D7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1" t="s">
        <v>10</v>
      </c>
      <c r="L7" s="11" t="s">
        <v>11</v>
      </c>
      <c r="N7" s="10" t="s">
        <v>6</v>
      </c>
      <c r="O7" s="10" t="s">
        <v>7</v>
      </c>
      <c r="P7" s="10" t="s">
        <v>8</v>
      </c>
      <c r="Q7" s="10" t="s">
        <v>9</v>
      </c>
      <c r="R7" s="11" t="s">
        <v>10</v>
      </c>
      <c r="S7" s="11" t="s">
        <v>11</v>
      </c>
    </row>
    <row r="9" spans="2:19" x14ac:dyDescent="0.25">
      <c r="C9" s="12"/>
      <c r="D9" s="13"/>
      <c r="E9" s="14"/>
      <c r="G9" s="15"/>
      <c r="H9" s="16"/>
      <c r="I9" s="17"/>
      <c r="J9" s="17"/>
      <c r="K9" s="16"/>
      <c r="L9" s="16"/>
      <c r="N9" s="15"/>
      <c r="O9" s="16"/>
      <c r="P9" s="17"/>
      <c r="Q9" s="17"/>
      <c r="R9" s="16"/>
      <c r="S9" s="16"/>
    </row>
    <row r="10" spans="2:19" x14ac:dyDescent="0.25">
      <c r="C10" s="18"/>
      <c r="D10" s="19" t="s">
        <v>12</v>
      </c>
      <c r="E10" s="20"/>
      <c r="G10" s="21">
        <v>37</v>
      </c>
      <c r="H10" s="22">
        <v>2539396</v>
      </c>
      <c r="I10" s="22">
        <v>2518171</v>
      </c>
      <c r="J10" s="23">
        <v>0</v>
      </c>
      <c r="K10" s="24"/>
      <c r="L10" s="24"/>
      <c r="N10" s="21">
        <v>88</v>
      </c>
      <c r="O10" s="22">
        <v>5308348</v>
      </c>
      <c r="P10" s="22">
        <v>5276420</v>
      </c>
      <c r="Q10" s="23">
        <v>0</v>
      </c>
      <c r="R10" s="24"/>
      <c r="S10" s="24"/>
    </row>
    <row r="11" spans="2:19" x14ac:dyDescent="0.25">
      <c r="C11" s="18"/>
      <c r="D11" s="19"/>
      <c r="E11" s="20"/>
      <c r="G11" s="21"/>
      <c r="H11" s="24"/>
      <c r="I11" s="20"/>
      <c r="J11" s="23"/>
      <c r="K11" s="24"/>
      <c r="L11" s="24"/>
      <c r="N11" s="21"/>
      <c r="O11" s="24"/>
      <c r="P11" s="20"/>
      <c r="Q11" s="23"/>
      <c r="R11" s="24"/>
      <c r="S11" s="24"/>
    </row>
    <row r="12" spans="2:19" x14ac:dyDescent="0.25">
      <c r="B12" s="25">
        <v>0</v>
      </c>
      <c r="C12" s="26">
        <v>0</v>
      </c>
      <c r="D12" s="19" t="s">
        <v>13</v>
      </c>
      <c r="E12" s="27">
        <v>1</v>
      </c>
      <c r="G12" s="21">
        <v>723</v>
      </c>
      <c r="H12" s="22">
        <v>28865072</v>
      </c>
      <c r="I12" s="28">
        <v>28380996</v>
      </c>
      <c r="J12" s="28">
        <v>391714594</v>
      </c>
      <c r="K12" s="22">
        <v>0</v>
      </c>
      <c r="L12" s="29">
        <f t="shared" ref="L12:L18" si="0">J12/H12</f>
        <v>13.570539300923969</v>
      </c>
      <c r="N12" s="21">
        <v>735</v>
      </c>
      <c r="O12" s="22">
        <v>29863577</v>
      </c>
      <c r="P12" s="28">
        <v>29863577</v>
      </c>
      <c r="Q12" s="28">
        <v>315610580</v>
      </c>
      <c r="R12" s="22">
        <v>0</v>
      </c>
      <c r="S12" s="29">
        <f>Q12/O12</f>
        <v>10.568411814833835</v>
      </c>
    </row>
    <row r="13" spans="2:19" x14ac:dyDescent="0.25">
      <c r="B13" s="25">
        <v>0</v>
      </c>
      <c r="C13" s="26">
        <v>0</v>
      </c>
      <c r="D13" s="19" t="s">
        <v>13</v>
      </c>
      <c r="E13" s="27">
        <v>2</v>
      </c>
      <c r="G13" s="21">
        <v>655</v>
      </c>
      <c r="H13" s="22">
        <v>26049284</v>
      </c>
      <c r="I13" s="28">
        <v>25738614</v>
      </c>
      <c r="J13" s="28">
        <v>391676884</v>
      </c>
      <c r="K13" s="22">
        <v>0</v>
      </c>
      <c r="L13" s="29">
        <f t="shared" si="0"/>
        <v>15.035994233085255</v>
      </c>
      <c r="N13" s="21">
        <v>526</v>
      </c>
      <c r="O13" s="22">
        <v>21713859</v>
      </c>
      <c r="P13" s="28">
        <v>21713859</v>
      </c>
      <c r="Q13" s="28">
        <v>442510929</v>
      </c>
      <c r="R13" s="22">
        <v>0</v>
      </c>
      <c r="S13" s="29">
        <f t="shared" ref="S13:S18" si="1">Q13/O13</f>
        <v>20.37919326085704</v>
      </c>
    </row>
    <row r="14" spans="2:19" x14ac:dyDescent="0.25">
      <c r="B14" s="25">
        <v>0.4</v>
      </c>
      <c r="C14" s="30">
        <v>2.5</v>
      </c>
      <c r="D14" s="19" t="s">
        <v>13</v>
      </c>
      <c r="E14" s="31">
        <v>3</v>
      </c>
      <c r="G14" s="21">
        <v>501</v>
      </c>
      <c r="H14" s="22">
        <v>20025315</v>
      </c>
      <c r="I14" s="28">
        <v>19993817</v>
      </c>
      <c r="J14" s="28">
        <v>628862932</v>
      </c>
      <c r="K14" s="22">
        <f t="shared" ref="K14:K19" si="2">H14*C14</f>
        <v>50063287.5</v>
      </c>
      <c r="L14" s="32">
        <f t="shared" si="0"/>
        <v>31.403397749298826</v>
      </c>
      <c r="N14" s="21">
        <v>413</v>
      </c>
      <c r="O14" s="22">
        <v>17655630</v>
      </c>
      <c r="P14" s="28">
        <v>17655630</v>
      </c>
      <c r="Q14" s="28">
        <v>457074878</v>
      </c>
      <c r="R14" s="22">
        <f>O14*C14</f>
        <v>44139075</v>
      </c>
      <c r="S14" s="32">
        <f t="shared" si="1"/>
        <v>25.888335788640791</v>
      </c>
    </row>
    <row r="15" spans="2:19" x14ac:dyDescent="0.25">
      <c r="B15" s="25">
        <v>0.2</v>
      </c>
      <c r="C15" s="30">
        <v>5</v>
      </c>
      <c r="D15" s="19" t="s">
        <v>13</v>
      </c>
      <c r="E15" s="31">
        <v>4</v>
      </c>
      <c r="G15" s="21">
        <v>354</v>
      </c>
      <c r="H15" s="22">
        <v>16077663</v>
      </c>
      <c r="I15" s="28">
        <v>15812547</v>
      </c>
      <c r="J15" s="28">
        <v>556304170</v>
      </c>
      <c r="K15" s="22">
        <f t="shared" si="2"/>
        <v>80388315</v>
      </c>
      <c r="L15" s="32">
        <f t="shared" si="0"/>
        <v>34.601059245986185</v>
      </c>
      <c r="N15" s="21">
        <v>347</v>
      </c>
      <c r="O15" s="22">
        <v>15594091</v>
      </c>
      <c r="P15" s="28">
        <v>15594091</v>
      </c>
      <c r="Q15" s="28">
        <v>591815527</v>
      </c>
      <c r="R15" s="22">
        <f t="shared" ref="R15:R19" si="3">O15*C15</f>
        <v>77970455</v>
      </c>
      <c r="S15" s="32">
        <f t="shared" si="1"/>
        <v>37.951268015557943</v>
      </c>
    </row>
    <row r="16" spans="2:19" x14ac:dyDescent="0.25">
      <c r="B16" s="25">
        <v>0.1</v>
      </c>
      <c r="C16" s="30">
        <v>10</v>
      </c>
      <c r="D16" s="19" t="s">
        <v>13</v>
      </c>
      <c r="E16" s="31">
        <v>5</v>
      </c>
      <c r="G16" s="21">
        <v>261</v>
      </c>
      <c r="H16" s="22">
        <v>12892595</v>
      </c>
      <c r="I16" s="28">
        <v>12812472</v>
      </c>
      <c r="J16" s="28">
        <v>423864787</v>
      </c>
      <c r="K16" s="22">
        <f t="shared" si="2"/>
        <v>128925950</v>
      </c>
      <c r="L16" s="32">
        <f t="shared" si="0"/>
        <v>32.876607618559333</v>
      </c>
      <c r="N16" s="21">
        <v>279</v>
      </c>
      <c r="O16" s="22">
        <v>12791170</v>
      </c>
      <c r="P16" s="28">
        <v>12683003</v>
      </c>
      <c r="Q16" s="28">
        <v>601137284</v>
      </c>
      <c r="R16" s="22">
        <f t="shared" si="3"/>
        <v>127911700</v>
      </c>
      <c r="S16" s="32">
        <f t="shared" si="1"/>
        <v>46.996270395905924</v>
      </c>
    </row>
    <row r="17" spans="2:19" x14ac:dyDescent="0.25">
      <c r="B17" s="33">
        <v>7.4999999999999997E-2</v>
      </c>
      <c r="C17" s="30">
        <v>13.3</v>
      </c>
      <c r="D17" s="19" t="s">
        <v>13</v>
      </c>
      <c r="E17" s="31">
        <v>6</v>
      </c>
      <c r="G17" s="21">
        <v>212</v>
      </c>
      <c r="H17" s="22">
        <v>9442559</v>
      </c>
      <c r="I17" s="28">
        <v>9336398</v>
      </c>
      <c r="J17" s="28">
        <v>438917415</v>
      </c>
      <c r="K17" s="22">
        <f t="shared" si="2"/>
        <v>125586034.7</v>
      </c>
      <c r="L17" s="32">
        <f t="shared" si="0"/>
        <v>46.482888272130467</v>
      </c>
      <c r="N17" s="21">
        <v>209</v>
      </c>
      <c r="O17" s="22">
        <v>10017615</v>
      </c>
      <c r="P17" s="28">
        <v>10017615</v>
      </c>
      <c r="Q17" s="28">
        <v>432748730</v>
      </c>
      <c r="R17" s="22">
        <f t="shared" si="3"/>
        <v>133234279.5</v>
      </c>
      <c r="S17" s="32">
        <f t="shared" si="1"/>
        <v>43.198778351933072</v>
      </c>
    </row>
    <row r="18" spans="2:19" x14ac:dyDescent="0.25">
      <c r="B18" s="25">
        <v>0.05</v>
      </c>
      <c r="C18" s="30">
        <v>20</v>
      </c>
      <c r="D18" s="19" t="s">
        <v>13</v>
      </c>
      <c r="E18" s="31">
        <v>7</v>
      </c>
      <c r="G18" s="21">
        <v>233</v>
      </c>
      <c r="H18" s="22">
        <v>10451981</v>
      </c>
      <c r="I18" s="28">
        <v>10395717</v>
      </c>
      <c r="J18" s="28">
        <v>567350572</v>
      </c>
      <c r="K18" s="22">
        <f t="shared" si="2"/>
        <v>209039620</v>
      </c>
      <c r="L18" s="32">
        <f t="shared" si="0"/>
        <v>54.281630630595288</v>
      </c>
      <c r="N18" s="21">
        <v>171</v>
      </c>
      <c r="O18" s="22">
        <v>7948538</v>
      </c>
      <c r="P18" s="28">
        <v>7948538</v>
      </c>
      <c r="Q18" s="28">
        <v>447993476</v>
      </c>
      <c r="R18" s="22">
        <f t="shared" si="3"/>
        <v>158970760</v>
      </c>
      <c r="S18" s="32">
        <f t="shared" si="1"/>
        <v>56.361745518484028</v>
      </c>
    </row>
    <row r="19" spans="2:19" x14ac:dyDescent="0.25">
      <c r="B19" s="25">
        <v>0.05</v>
      </c>
      <c r="C19" s="34">
        <v>20</v>
      </c>
      <c r="D19" s="35" t="s">
        <v>13</v>
      </c>
      <c r="E19" s="36">
        <v>8</v>
      </c>
      <c r="G19" s="37">
        <v>2</v>
      </c>
      <c r="H19" s="38">
        <v>141300</v>
      </c>
      <c r="I19" s="39">
        <v>94943</v>
      </c>
      <c r="J19" s="40">
        <v>9449706</v>
      </c>
      <c r="K19" s="41">
        <f t="shared" si="2"/>
        <v>2826000</v>
      </c>
      <c r="L19" s="42">
        <f>J19/H19</f>
        <v>66.876900212314226</v>
      </c>
      <c r="N19" s="37"/>
      <c r="O19" s="38"/>
      <c r="P19" s="43"/>
      <c r="Q19" s="44"/>
      <c r="R19" s="41">
        <f t="shared" si="3"/>
        <v>0</v>
      </c>
      <c r="S19" s="45"/>
    </row>
    <row r="20" spans="2:19" x14ac:dyDescent="0.25">
      <c r="N20" s="46"/>
    </row>
    <row r="21" spans="2:19" x14ac:dyDescent="0.25">
      <c r="B21" s="54" t="s">
        <v>15</v>
      </c>
      <c r="C21" s="55">
        <f>(C14+C15+C16+C17+C18+C19)/8</f>
        <v>8.85</v>
      </c>
      <c r="D21" s="47" t="s">
        <v>14</v>
      </c>
      <c r="E21" s="47"/>
      <c r="F21" s="47"/>
      <c r="G21" s="48">
        <f>SUM(G10:G19)</f>
        <v>2978</v>
      </c>
      <c r="H21" s="49">
        <f>SUM(H10:H19)</f>
        <v>126485165</v>
      </c>
      <c r="I21" s="49">
        <f>SUM(I10:I19)</f>
        <v>125083675</v>
      </c>
      <c r="J21" s="49">
        <f>SUM(J10:J19)</f>
        <v>3408141060</v>
      </c>
      <c r="K21" s="50">
        <f>SUM(K14:K19)</f>
        <v>596829207.20000005</v>
      </c>
      <c r="L21" s="51"/>
      <c r="M21" s="47"/>
      <c r="N21" s="48">
        <f>SUM(N10:N18)</f>
        <v>2768</v>
      </c>
      <c r="O21" s="49">
        <f>SUM(O10:O18)</f>
        <v>120892828</v>
      </c>
      <c r="P21" s="49">
        <f>SUM(P10:P20)</f>
        <v>120752733</v>
      </c>
      <c r="Q21" s="49">
        <f>SUM(Q10:Q18)</f>
        <v>3288891404</v>
      </c>
      <c r="R21" s="50">
        <f>SUM(R14:R20)</f>
        <v>542226269.5</v>
      </c>
      <c r="S21" s="51"/>
    </row>
    <row r="22" spans="2:19" x14ac:dyDescent="0.25">
      <c r="C22" s="100">
        <f>SUM(C14:C18)/5</f>
        <v>10.16</v>
      </c>
      <c r="I22" s="66"/>
    </row>
    <row r="23" spans="2:19" x14ac:dyDescent="0.25">
      <c r="G23" s="13"/>
      <c r="H23" s="52"/>
      <c r="I23" s="53"/>
      <c r="J23" s="52"/>
      <c r="K23" s="52"/>
      <c r="L23" s="14"/>
      <c r="N23" s="13"/>
      <c r="O23" s="52"/>
      <c r="P23" s="53"/>
      <c r="Q23" s="52"/>
      <c r="R23" s="52"/>
      <c r="S23" s="14"/>
    </row>
    <row r="24" spans="2:19" x14ac:dyDescent="0.25">
      <c r="D24" t="s">
        <v>16</v>
      </c>
      <c r="G24" s="56">
        <f>H10/G10</f>
        <v>68632.32432432432</v>
      </c>
      <c r="H24" s="47"/>
      <c r="I24" s="57"/>
      <c r="J24" s="47"/>
      <c r="K24" s="47"/>
      <c r="L24" s="28">
        <f>(L14+L15+L16+L17+L18+L19)/6</f>
        <v>44.420413954814052</v>
      </c>
      <c r="N24" s="56">
        <f>O10/N10</f>
        <v>60322.13636363636</v>
      </c>
      <c r="O24" s="47" t="s">
        <v>17</v>
      </c>
      <c r="P24" s="57"/>
      <c r="Q24" s="47"/>
      <c r="R24" s="47"/>
      <c r="S24" s="28">
        <f>(S14+S15+S16+S17+S18)/5</f>
        <v>42.079279614104351</v>
      </c>
    </row>
    <row r="25" spans="2:19" x14ac:dyDescent="0.25">
      <c r="G25" s="19"/>
      <c r="H25" s="47"/>
      <c r="I25" s="47"/>
      <c r="J25" s="47"/>
      <c r="K25" s="47"/>
      <c r="L25" s="20"/>
      <c r="N25" s="19"/>
      <c r="O25" s="47"/>
      <c r="P25" s="47"/>
      <c r="Q25" s="47"/>
      <c r="R25" s="47"/>
      <c r="S25" s="20"/>
    </row>
    <row r="26" spans="2:19" x14ac:dyDescent="0.25">
      <c r="B26" s="58" t="s">
        <v>18</v>
      </c>
      <c r="G26" s="19"/>
      <c r="H26" s="90">
        <f>150400000*0.95</f>
        <v>142880000</v>
      </c>
      <c r="I26" s="60" t="s">
        <v>17</v>
      </c>
      <c r="J26" s="10" t="s">
        <v>19</v>
      </c>
      <c r="K26" s="47"/>
      <c r="L26" s="20"/>
      <c r="N26" s="19"/>
      <c r="O26" s="90">
        <f>125400000*0.95</f>
        <v>119130000</v>
      </c>
      <c r="P26" s="60" t="s">
        <v>17</v>
      </c>
      <c r="Q26" s="47"/>
      <c r="R26" s="47"/>
      <c r="S26" s="20"/>
    </row>
    <row r="27" spans="2:19" x14ac:dyDescent="0.25">
      <c r="B27" t="s">
        <v>20</v>
      </c>
      <c r="G27" s="35"/>
      <c r="H27" s="61"/>
      <c r="I27" s="61"/>
      <c r="J27" s="61"/>
      <c r="K27" s="61"/>
      <c r="L27" s="44"/>
      <c r="N27" s="35"/>
      <c r="O27" s="62" t="s">
        <v>21</v>
      </c>
      <c r="P27" s="63"/>
      <c r="Q27" s="63"/>
      <c r="R27" s="63"/>
      <c r="S27" s="64"/>
    </row>
    <row r="28" spans="2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2:19" x14ac:dyDescent="0.25">
      <c r="I29" s="66"/>
      <c r="J29" s="66"/>
    </row>
    <row r="30" spans="2:19" x14ac:dyDescent="0.25">
      <c r="D30" s="4" t="s">
        <v>37</v>
      </c>
      <c r="E30" s="5"/>
      <c r="G30" s="6"/>
      <c r="H30" s="7" t="s">
        <v>22</v>
      </c>
      <c r="I30" s="7"/>
      <c r="J30" s="8" t="s">
        <v>23</v>
      </c>
      <c r="K30" s="6"/>
      <c r="L30" s="9"/>
      <c r="N30" s="6"/>
      <c r="O30" s="7" t="s">
        <v>24</v>
      </c>
      <c r="P30" s="7"/>
      <c r="Q30" s="8" t="s">
        <v>25</v>
      </c>
      <c r="R30" s="6"/>
      <c r="S30" s="9"/>
    </row>
    <row r="32" spans="2:19" x14ac:dyDescent="0.25">
      <c r="C32" t="s">
        <v>4</v>
      </c>
      <c r="D32" t="s">
        <v>5</v>
      </c>
      <c r="G32" s="10" t="s">
        <v>6</v>
      </c>
      <c r="H32" s="10" t="s">
        <v>7</v>
      </c>
      <c r="I32" s="10" t="s">
        <v>8</v>
      </c>
      <c r="J32" s="10" t="s">
        <v>9</v>
      </c>
      <c r="K32" s="11" t="s">
        <v>10</v>
      </c>
      <c r="L32" s="11" t="s">
        <v>11</v>
      </c>
      <c r="N32" s="10" t="s">
        <v>6</v>
      </c>
      <c r="O32" s="10" t="s">
        <v>7</v>
      </c>
      <c r="P32" s="10" t="s">
        <v>8</v>
      </c>
      <c r="Q32" s="10" t="s">
        <v>9</v>
      </c>
      <c r="R32" s="11" t="s">
        <v>10</v>
      </c>
      <c r="S32" s="11" t="s">
        <v>11</v>
      </c>
    </row>
    <row r="34" spans="2:19" x14ac:dyDescent="0.25">
      <c r="C34" s="12"/>
      <c r="D34" s="13"/>
      <c r="E34" s="14"/>
      <c r="G34" s="15"/>
      <c r="H34" s="16"/>
      <c r="I34" s="17"/>
      <c r="J34" s="17"/>
      <c r="K34" s="16"/>
      <c r="L34" s="12"/>
      <c r="N34" s="15"/>
      <c r="O34" s="16"/>
      <c r="P34" s="17"/>
      <c r="Q34" s="17"/>
      <c r="R34" s="16"/>
      <c r="S34" s="12"/>
    </row>
    <row r="35" spans="2:19" x14ac:dyDescent="0.25">
      <c r="C35" s="18"/>
      <c r="D35" s="19" t="s">
        <v>12</v>
      </c>
      <c r="E35" s="20"/>
      <c r="G35" s="21">
        <v>55</v>
      </c>
      <c r="H35" s="22">
        <v>4014500</v>
      </c>
      <c r="I35" s="22">
        <v>4014500</v>
      </c>
      <c r="J35" s="23">
        <v>0</v>
      </c>
      <c r="K35" s="24"/>
      <c r="L35" s="18"/>
      <c r="N35" s="18">
        <v>80</v>
      </c>
      <c r="O35" s="22">
        <v>5159518</v>
      </c>
      <c r="P35" s="22">
        <v>4615378</v>
      </c>
      <c r="Q35" s="28">
        <v>0</v>
      </c>
      <c r="R35" s="22"/>
      <c r="S35" s="18"/>
    </row>
    <row r="36" spans="2:19" x14ac:dyDescent="0.25">
      <c r="C36" s="18"/>
      <c r="D36" s="19"/>
      <c r="E36" s="20"/>
      <c r="G36" s="21"/>
      <c r="H36" s="24"/>
      <c r="I36" s="20"/>
      <c r="J36" s="23"/>
      <c r="K36" s="24"/>
      <c r="L36" s="18"/>
      <c r="N36" s="18"/>
      <c r="O36" s="20"/>
      <c r="P36" s="20"/>
      <c r="Q36" s="20"/>
      <c r="R36" s="22"/>
      <c r="S36" s="18"/>
    </row>
    <row r="37" spans="2:19" x14ac:dyDescent="0.25">
      <c r="B37" s="25">
        <v>0</v>
      </c>
      <c r="C37" s="26">
        <v>0</v>
      </c>
      <c r="D37" s="19" t="s">
        <v>13</v>
      </c>
      <c r="E37" s="27">
        <v>1</v>
      </c>
      <c r="G37" s="21">
        <v>684</v>
      </c>
      <c r="H37" s="22">
        <v>28706888</v>
      </c>
      <c r="I37" s="28">
        <v>28706888</v>
      </c>
      <c r="J37" s="28">
        <v>376654142</v>
      </c>
      <c r="K37" s="22">
        <v>0</v>
      </c>
      <c r="L37" s="32">
        <f t="shared" ref="L37:L43" si="4">J37/I37</f>
        <v>13.120688735052019</v>
      </c>
      <c r="N37" s="67">
        <v>878</v>
      </c>
      <c r="O37" s="28">
        <v>36193295</v>
      </c>
      <c r="P37" s="28">
        <v>33872418</v>
      </c>
      <c r="Q37" s="28">
        <v>380840420</v>
      </c>
      <c r="R37" s="22">
        <v>0</v>
      </c>
      <c r="S37" s="29">
        <f t="shared" ref="S37:S44" si="5">Q37/P37</f>
        <v>11.243378609699491</v>
      </c>
    </row>
    <row r="38" spans="2:19" x14ac:dyDescent="0.25">
      <c r="B38" s="25">
        <v>0</v>
      </c>
      <c r="C38" s="26">
        <v>0</v>
      </c>
      <c r="D38" s="19" t="s">
        <v>13</v>
      </c>
      <c r="E38" s="27">
        <v>2</v>
      </c>
      <c r="G38" s="21">
        <v>460</v>
      </c>
      <c r="H38" s="22">
        <v>21061656</v>
      </c>
      <c r="I38" s="28">
        <v>21061656</v>
      </c>
      <c r="J38" s="28">
        <v>267345726</v>
      </c>
      <c r="K38" s="22">
        <v>0</v>
      </c>
      <c r="L38" s="32">
        <f t="shared" si="4"/>
        <v>12.693480797521335</v>
      </c>
      <c r="N38" s="67">
        <v>558</v>
      </c>
      <c r="O38" s="28">
        <v>25612332</v>
      </c>
      <c r="P38" s="28">
        <v>23725521</v>
      </c>
      <c r="Q38" s="28">
        <v>354078938</v>
      </c>
      <c r="R38" s="22">
        <v>0</v>
      </c>
      <c r="S38" s="29">
        <f t="shared" si="5"/>
        <v>14.923968919375891</v>
      </c>
    </row>
    <row r="39" spans="2:19" x14ac:dyDescent="0.25">
      <c r="B39" s="25">
        <v>0.4</v>
      </c>
      <c r="C39" s="30">
        <v>2.5</v>
      </c>
      <c r="D39" s="19" t="s">
        <v>13</v>
      </c>
      <c r="E39" s="31">
        <v>3</v>
      </c>
      <c r="G39" s="21">
        <v>309</v>
      </c>
      <c r="H39" s="22">
        <v>15268281</v>
      </c>
      <c r="I39" s="28">
        <v>15268281</v>
      </c>
      <c r="J39" s="28">
        <v>398353792</v>
      </c>
      <c r="K39" s="22">
        <f>H39*C14</f>
        <v>38170702.5</v>
      </c>
      <c r="L39" s="32">
        <f t="shared" si="4"/>
        <v>26.090284295920412</v>
      </c>
      <c r="N39" s="67">
        <v>347</v>
      </c>
      <c r="O39" s="28">
        <v>18844803</v>
      </c>
      <c r="P39" s="28">
        <v>17015026</v>
      </c>
      <c r="Q39" s="28">
        <v>403309263</v>
      </c>
      <c r="R39" s="22">
        <f t="shared" ref="R39:R44" si="6">O39*C14</f>
        <v>47112007.5</v>
      </c>
      <c r="S39" s="29">
        <f t="shared" si="5"/>
        <v>23.703123521527385</v>
      </c>
    </row>
    <row r="40" spans="2:19" x14ac:dyDescent="0.25">
      <c r="B40" s="25">
        <v>0.2</v>
      </c>
      <c r="C40" s="30">
        <v>5</v>
      </c>
      <c r="D40" s="19" t="s">
        <v>13</v>
      </c>
      <c r="E40" s="31">
        <v>4</v>
      </c>
      <c r="G40" s="21">
        <v>294</v>
      </c>
      <c r="H40" s="22">
        <v>13254170</v>
      </c>
      <c r="I40" s="28">
        <v>13254170</v>
      </c>
      <c r="J40" s="28">
        <v>433404019</v>
      </c>
      <c r="K40" s="22">
        <f>H40*C15</f>
        <v>66270850</v>
      </c>
      <c r="L40" s="32">
        <f t="shared" si="4"/>
        <v>32.69944621202233</v>
      </c>
      <c r="N40" s="67">
        <v>297</v>
      </c>
      <c r="O40" s="28">
        <v>15947631</v>
      </c>
      <c r="P40" s="28">
        <v>14396957</v>
      </c>
      <c r="Q40" s="28">
        <v>559793363</v>
      </c>
      <c r="R40" s="22">
        <f t="shared" si="6"/>
        <v>79738155</v>
      </c>
      <c r="S40" s="29">
        <f t="shared" si="5"/>
        <v>38.88275577957203</v>
      </c>
    </row>
    <row r="41" spans="2:19" x14ac:dyDescent="0.25">
      <c r="B41" s="25">
        <v>0.1</v>
      </c>
      <c r="C41" s="30">
        <v>10</v>
      </c>
      <c r="D41" s="19" t="s">
        <v>13</v>
      </c>
      <c r="E41" s="31">
        <v>5</v>
      </c>
      <c r="G41" s="21">
        <v>268</v>
      </c>
      <c r="H41" s="22">
        <v>12326820</v>
      </c>
      <c r="I41" s="28">
        <v>12326820</v>
      </c>
      <c r="J41" s="28">
        <v>546856995</v>
      </c>
      <c r="K41" s="22">
        <f>H41*C16</f>
        <v>123268200</v>
      </c>
      <c r="L41" s="32">
        <f t="shared" si="4"/>
        <v>44.363184909003294</v>
      </c>
      <c r="N41" s="67">
        <v>276</v>
      </c>
      <c r="O41" s="28">
        <v>14014336</v>
      </c>
      <c r="P41" s="28">
        <v>12771633</v>
      </c>
      <c r="Q41" s="28">
        <v>480996575</v>
      </c>
      <c r="R41" s="22">
        <f t="shared" si="6"/>
        <v>140143360</v>
      </c>
      <c r="S41" s="29">
        <f t="shared" si="5"/>
        <v>37.661321383099562</v>
      </c>
    </row>
    <row r="42" spans="2:19" x14ac:dyDescent="0.25">
      <c r="B42" s="33">
        <v>7.4999999999999997E-2</v>
      </c>
      <c r="C42" s="30">
        <v>13.3</v>
      </c>
      <c r="D42" s="19" t="s">
        <v>13</v>
      </c>
      <c r="E42" s="31">
        <v>6</v>
      </c>
      <c r="G42" s="21">
        <v>200</v>
      </c>
      <c r="H42" s="22">
        <v>10598343</v>
      </c>
      <c r="I42" s="28">
        <v>10598343</v>
      </c>
      <c r="J42" s="28">
        <v>501053542</v>
      </c>
      <c r="K42" s="22">
        <f>H42*C17</f>
        <v>140957961.90000001</v>
      </c>
      <c r="L42" s="32">
        <f t="shared" si="4"/>
        <v>47.276592388074249</v>
      </c>
      <c r="N42" s="67">
        <v>233</v>
      </c>
      <c r="O42" s="28">
        <v>12441411</v>
      </c>
      <c r="P42" s="28">
        <v>11187422</v>
      </c>
      <c r="Q42" s="28">
        <v>606721771</v>
      </c>
      <c r="R42" s="22">
        <f t="shared" si="6"/>
        <v>165470766.30000001</v>
      </c>
      <c r="S42" s="29">
        <f t="shared" si="5"/>
        <v>54.232491721506527</v>
      </c>
    </row>
    <row r="43" spans="2:19" x14ac:dyDescent="0.25">
      <c r="B43" s="25">
        <v>0.05</v>
      </c>
      <c r="C43" s="30">
        <v>20</v>
      </c>
      <c r="D43" s="19" t="s">
        <v>13</v>
      </c>
      <c r="E43" s="31">
        <v>7</v>
      </c>
      <c r="G43" s="21">
        <v>165</v>
      </c>
      <c r="H43" s="22">
        <v>7857295</v>
      </c>
      <c r="I43" s="28">
        <v>7857295</v>
      </c>
      <c r="J43" s="28">
        <v>400538299</v>
      </c>
      <c r="K43" s="22">
        <f>H43*C18</f>
        <v>157145900</v>
      </c>
      <c r="L43" s="32">
        <f t="shared" si="4"/>
        <v>50.97661459828096</v>
      </c>
      <c r="N43" s="67">
        <v>199</v>
      </c>
      <c r="O43" s="28">
        <v>10073959</v>
      </c>
      <c r="P43" s="28">
        <v>9108363</v>
      </c>
      <c r="Q43" s="28">
        <v>504828137</v>
      </c>
      <c r="R43" s="22">
        <f t="shared" si="6"/>
        <v>201479180</v>
      </c>
      <c r="S43" s="29">
        <f t="shared" si="5"/>
        <v>55.42468355729784</v>
      </c>
    </row>
    <row r="44" spans="2:19" x14ac:dyDescent="0.25">
      <c r="B44" s="25">
        <v>0.05</v>
      </c>
      <c r="C44" s="34">
        <v>20</v>
      </c>
      <c r="D44" s="35" t="s">
        <v>13</v>
      </c>
      <c r="E44" s="36">
        <v>8</v>
      </c>
      <c r="G44" s="37"/>
      <c r="H44" s="38"/>
      <c r="I44" s="43"/>
      <c r="J44" s="44"/>
      <c r="K44" s="38"/>
      <c r="L44" s="45"/>
      <c r="N44" s="68">
        <v>266</v>
      </c>
      <c r="O44" s="39">
        <v>15440636</v>
      </c>
      <c r="P44" s="39">
        <v>13656756</v>
      </c>
      <c r="Q44" s="39">
        <v>830097178</v>
      </c>
      <c r="R44" s="69">
        <f t="shared" si="6"/>
        <v>308812720</v>
      </c>
      <c r="S44" s="29">
        <f t="shared" si="5"/>
        <v>60.782895879519266</v>
      </c>
    </row>
    <row r="46" spans="2:19" x14ac:dyDescent="0.25">
      <c r="C46" s="47"/>
      <c r="D46" s="47" t="s">
        <v>14</v>
      </c>
      <c r="E46" s="47"/>
      <c r="G46" s="48">
        <f>SUM(G35:G43)</f>
        <v>2435</v>
      </c>
      <c r="H46" s="49">
        <f t="shared" ref="H46:J46" si="7">SUM(H35:H43)</f>
        <v>113087953</v>
      </c>
      <c r="I46" s="49">
        <f>SUM(I35:I45)</f>
        <v>113087953</v>
      </c>
      <c r="J46" s="49">
        <f t="shared" si="7"/>
        <v>2924206515</v>
      </c>
      <c r="K46" s="50">
        <f>SUM(K39:K45)</f>
        <v>525813614.39999998</v>
      </c>
      <c r="L46" s="47"/>
      <c r="M46" s="47"/>
      <c r="N46" s="4">
        <f>SUM(N35:N45)</f>
        <v>3134</v>
      </c>
      <c r="O46" s="49">
        <f>SUM(O35:O45)</f>
        <v>153727921</v>
      </c>
      <c r="P46" s="49">
        <f>SUM(P35:P45)</f>
        <v>140349474</v>
      </c>
      <c r="Q46" s="49">
        <f>SUM(Q35:Q45)</f>
        <v>4120665645</v>
      </c>
      <c r="R46" s="50">
        <f>SUM(R39:R45)</f>
        <v>942756188.79999995</v>
      </c>
      <c r="S46" s="47"/>
    </row>
    <row r="48" spans="2:19" x14ac:dyDescent="0.25">
      <c r="G48" s="13"/>
      <c r="H48" s="52"/>
      <c r="I48" s="53"/>
      <c r="J48" s="52"/>
      <c r="K48" s="52"/>
      <c r="L48" s="14"/>
      <c r="N48" s="13"/>
      <c r="O48" s="52" t="s">
        <v>26</v>
      </c>
      <c r="P48" s="53">
        <v>0.65300000000000002</v>
      </c>
      <c r="Q48" s="52"/>
      <c r="R48" s="52"/>
      <c r="S48" s="14"/>
    </row>
    <row r="49" spans="2:19" x14ac:dyDescent="0.25">
      <c r="G49" s="19"/>
      <c r="H49" s="47"/>
      <c r="I49" s="47"/>
      <c r="J49" s="47"/>
      <c r="K49" s="47"/>
      <c r="L49" s="20"/>
      <c r="N49" s="19"/>
      <c r="O49" s="47"/>
      <c r="P49" s="47"/>
      <c r="Q49" s="47"/>
      <c r="R49" s="47"/>
      <c r="S49" s="20"/>
    </row>
    <row r="50" spans="2:19" x14ac:dyDescent="0.25">
      <c r="G50" s="56">
        <f>H35/G35</f>
        <v>72990.909090909088</v>
      </c>
      <c r="H50" s="47"/>
      <c r="I50" s="57"/>
      <c r="J50" s="47"/>
      <c r="K50" s="47"/>
      <c r="L50" s="28">
        <f>(L39+L40+L41+L42+L43)/5</f>
        <v>40.281224480660249</v>
      </c>
      <c r="N50" s="83">
        <f>O35/N35</f>
        <v>64493.974999999999</v>
      </c>
      <c r="O50" s="70" t="s">
        <v>27</v>
      </c>
      <c r="P50" s="71">
        <f>O46-P46</f>
        <v>13378447</v>
      </c>
      <c r="Q50" s="47"/>
      <c r="R50" s="47"/>
      <c r="S50" s="28">
        <f>(S39+S40+S41+S42+S43+S44)/6</f>
        <v>45.114545307087099</v>
      </c>
    </row>
    <row r="51" spans="2:19" x14ac:dyDescent="0.25">
      <c r="G51" s="19"/>
      <c r="H51" s="47"/>
      <c r="I51" s="47"/>
      <c r="J51" s="47"/>
      <c r="K51" s="47"/>
      <c r="L51" s="20"/>
      <c r="N51" s="19"/>
      <c r="O51" s="47"/>
      <c r="P51" s="47"/>
      <c r="Q51" s="47"/>
      <c r="R51" s="47"/>
      <c r="S51" s="20"/>
    </row>
    <row r="52" spans="2:19" x14ac:dyDescent="0.25">
      <c r="G52" s="19"/>
      <c r="H52" s="90">
        <f>137900000*0.95</f>
        <v>131005000</v>
      </c>
      <c r="I52" s="60" t="s">
        <v>17</v>
      </c>
      <c r="J52" s="4" t="s">
        <v>28</v>
      </c>
      <c r="K52" s="72"/>
      <c r="L52" s="5"/>
      <c r="N52" s="19"/>
      <c r="O52" s="47"/>
      <c r="P52" s="90">
        <f>137900000*0.95</f>
        <v>131005000</v>
      </c>
      <c r="Q52" s="4" t="s">
        <v>29</v>
      </c>
      <c r="R52" s="72"/>
      <c r="S52" s="5"/>
    </row>
    <row r="53" spans="2:19" x14ac:dyDescent="0.25">
      <c r="G53" s="35"/>
      <c r="H53" s="61"/>
      <c r="I53" s="61"/>
      <c r="J53" s="61"/>
      <c r="K53" s="61"/>
      <c r="L53" s="44"/>
      <c r="N53" s="35"/>
      <c r="O53" s="63" t="s">
        <v>30</v>
      </c>
      <c r="P53" s="63"/>
      <c r="Q53" s="63"/>
      <c r="R53" s="63"/>
      <c r="S53" s="64"/>
    </row>
    <row r="55" spans="2:19" ht="15.75" thickBot="1" x14ac:dyDescent="0.3"/>
    <row r="56" spans="2:19" ht="15.75" thickBot="1" x14ac:dyDescent="0.3">
      <c r="D56" s="4" t="s">
        <v>37</v>
      </c>
      <c r="E56" s="5"/>
      <c r="G56" s="6"/>
      <c r="H56" s="7" t="s">
        <v>31</v>
      </c>
      <c r="I56" s="7"/>
      <c r="J56" s="8" t="s">
        <v>32</v>
      </c>
      <c r="K56" s="6"/>
      <c r="L56" s="9"/>
      <c r="N56" s="73" t="s">
        <v>33</v>
      </c>
      <c r="O56" s="7"/>
      <c r="P56" s="79" t="s">
        <v>36</v>
      </c>
      <c r="Q56" s="80"/>
      <c r="R56" s="81"/>
      <c r="S56" s="82"/>
    </row>
    <row r="58" spans="2:19" x14ac:dyDescent="0.25">
      <c r="C58" t="s">
        <v>4</v>
      </c>
      <c r="D58" t="s">
        <v>5</v>
      </c>
      <c r="G58" s="10" t="s">
        <v>6</v>
      </c>
      <c r="H58" s="10" t="s">
        <v>7</v>
      </c>
      <c r="I58" s="10" t="s">
        <v>8</v>
      </c>
      <c r="J58" s="10" t="s">
        <v>9</v>
      </c>
      <c r="K58" s="11" t="s">
        <v>10</v>
      </c>
      <c r="L58" s="11" t="s">
        <v>11</v>
      </c>
      <c r="N58" s="10" t="s">
        <v>6</v>
      </c>
      <c r="O58" s="10" t="s">
        <v>7</v>
      </c>
      <c r="P58" s="10" t="s">
        <v>8</v>
      </c>
      <c r="Q58" s="10" t="s">
        <v>9</v>
      </c>
      <c r="R58" s="11" t="s">
        <v>10</v>
      </c>
      <c r="S58" s="11" t="s">
        <v>11</v>
      </c>
    </row>
    <row r="60" spans="2:19" x14ac:dyDescent="0.25">
      <c r="C60" s="12"/>
      <c r="D60" s="13"/>
      <c r="E60" s="14"/>
      <c r="G60" s="15"/>
      <c r="H60" s="16"/>
      <c r="I60" s="17"/>
      <c r="J60" s="17"/>
      <c r="K60" s="16"/>
      <c r="L60" s="12"/>
      <c r="N60" s="13"/>
      <c r="O60" s="12"/>
      <c r="P60" s="52"/>
      <c r="Q60" s="12"/>
      <c r="R60" s="52"/>
      <c r="S60" s="12"/>
    </row>
    <row r="61" spans="2:19" x14ac:dyDescent="0.25">
      <c r="C61" s="18"/>
      <c r="D61" s="19" t="s">
        <v>12</v>
      </c>
      <c r="E61" s="20"/>
      <c r="G61" s="67">
        <v>70</v>
      </c>
      <c r="H61" s="22">
        <v>4381279</v>
      </c>
      <c r="I61" s="22">
        <v>3800269</v>
      </c>
      <c r="J61" s="22">
        <v>0</v>
      </c>
      <c r="K61" s="22"/>
      <c r="L61" s="18"/>
      <c r="N61" s="19">
        <v>64</v>
      </c>
      <c r="O61" s="22">
        <v>4690175</v>
      </c>
      <c r="P61" s="59">
        <v>3841179</v>
      </c>
      <c r="Q61" s="22">
        <v>0</v>
      </c>
      <c r="R61" s="47"/>
      <c r="S61" s="18"/>
    </row>
    <row r="62" spans="2:19" x14ac:dyDescent="0.25">
      <c r="C62" s="18"/>
      <c r="D62" s="19"/>
      <c r="E62" s="20"/>
      <c r="G62" s="67"/>
      <c r="H62" s="18"/>
      <c r="I62" s="20"/>
      <c r="J62" s="20"/>
      <c r="K62" s="22"/>
      <c r="L62" s="18"/>
      <c r="N62" s="19"/>
      <c r="O62" s="22"/>
      <c r="P62" s="59"/>
      <c r="Q62" s="22"/>
      <c r="R62" s="47"/>
      <c r="S62" s="18"/>
    </row>
    <row r="63" spans="2:19" x14ac:dyDescent="0.25">
      <c r="B63" s="25">
        <v>0</v>
      </c>
      <c r="C63" s="26">
        <v>0</v>
      </c>
      <c r="D63" s="19" t="s">
        <v>13</v>
      </c>
      <c r="E63" s="27">
        <v>1</v>
      </c>
      <c r="G63" s="67">
        <v>952</v>
      </c>
      <c r="H63" s="28">
        <v>36450438</v>
      </c>
      <c r="I63" s="28">
        <v>33427838</v>
      </c>
      <c r="J63" s="28">
        <v>286848722</v>
      </c>
      <c r="K63" s="22">
        <v>0</v>
      </c>
      <c r="L63" s="29">
        <f t="shared" ref="L63:L70" si="8">J63/I63</f>
        <v>8.5811329467373874</v>
      </c>
      <c r="M63" s="74"/>
      <c r="N63" s="19">
        <v>1010</v>
      </c>
      <c r="O63" s="22">
        <v>41598527</v>
      </c>
      <c r="P63" s="59">
        <v>36748182</v>
      </c>
      <c r="Q63" s="22">
        <v>439892204</v>
      </c>
      <c r="R63" s="59">
        <v>0</v>
      </c>
      <c r="S63" s="87">
        <f t="shared" ref="S63:S70" si="9">Q63/P63</f>
        <v>11.970448061893238</v>
      </c>
    </row>
    <row r="64" spans="2:19" x14ac:dyDescent="0.25">
      <c r="B64" s="25">
        <v>0</v>
      </c>
      <c r="C64" s="26">
        <v>0</v>
      </c>
      <c r="D64" s="19" t="s">
        <v>13</v>
      </c>
      <c r="E64" s="27">
        <v>2</v>
      </c>
      <c r="G64" s="67">
        <v>604</v>
      </c>
      <c r="H64" s="28">
        <v>26215366</v>
      </c>
      <c r="I64" s="28">
        <v>23548989</v>
      </c>
      <c r="J64" s="28">
        <v>350040878</v>
      </c>
      <c r="K64" s="22">
        <v>0</v>
      </c>
      <c r="L64" s="29">
        <f t="shared" si="8"/>
        <v>14.864369676337272</v>
      </c>
      <c r="M64" s="74"/>
      <c r="N64" s="19">
        <v>699</v>
      </c>
      <c r="O64" s="22">
        <v>30266200</v>
      </c>
      <c r="P64" s="59">
        <v>26426421</v>
      </c>
      <c r="Q64" s="22">
        <v>459286412</v>
      </c>
      <c r="R64" s="59">
        <v>0</v>
      </c>
      <c r="S64" s="87">
        <f t="shared" si="9"/>
        <v>17.379818931969638</v>
      </c>
    </row>
    <row r="65" spans="2:27" x14ac:dyDescent="0.25">
      <c r="B65" s="25">
        <v>0.4</v>
      </c>
      <c r="C65" s="30">
        <v>2.5</v>
      </c>
      <c r="D65" s="19" t="s">
        <v>13</v>
      </c>
      <c r="E65" s="31">
        <v>3</v>
      </c>
      <c r="G65" s="67">
        <v>366</v>
      </c>
      <c r="H65" s="28">
        <v>18440625</v>
      </c>
      <c r="I65" s="28">
        <v>16356797</v>
      </c>
      <c r="J65" s="28">
        <v>440838478</v>
      </c>
      <c r="K65" s="22">
        <f t="shared" ref="K65:K70" si="10">H65*C14</f>
        <v>46101562.5</v>
      </c>
      <c r="L65" s="29">
        <f t="shared" si="8"/>
        <v>26.951393845628822</v>
      </c>
      <c r="M65" s="74"/>
      <c r="N65" s="19">
        <v>380</v>
      </c>
      <c r="O65" s="22">
        <v>19482941</v>
      </c>
      <c r="P65" s="59">
        <v>16627275</v>
      </c>
      <c r="Q65" s="22">
        <v>417205095</v>
      </c>
      <c r="R65" s="59">
        <f>P65*C14</f>
        <v>41568187.5</v>
      </c>
      <c r="S65" s="32">
        <f t="shared" si="9"/>
        <v>25.091609719572208</v>
      </c>
      <c r="W65" s="84"/>
      <c r="X65" s="84"/>
      <c r="Y65" s="84"/>
      <c r="Z65" s="84"/>
      <c r="AA65" s="84"/>
    </row>
    <row r="66" spans="2:27" x14ac:dyDescent="0.25">
      <c r="B66" s="25">
        <v>0.2</v>
      </c>
      <c r="C66" s="30">
        <v>5</v>
      </c>
      <c r="D66" s="19" t="s">
        <v>13</v>
      </c>
      <c r="E66" s="31">
        <v>4</v>
      </c>
      <c r="G66" s="67">
        <v>264</v>
      </c>
      <c r="H66" s="28">
        <v>16109379</v>
      </c>
      <c r="I66" s="28">
        <v>14000869</v>
      </c>
      <c r="J66" s="28">
        <v>463145390</v>
      </c>
      <c r="K66" s="22">
        <f t="shared" si="10"/>
        <v>80546895</v>
      </c>
      <c r="L66" s="29">
        <f t="shared" si="8"/>
        <v>33.079760263452222</v>
      </c>
      <c r="M66" s="74"/>
      <c r="N66" s="19">
        <v>270</v>
      </c>
      <c r="O66" s="22">
        <v>14981552</v>
      </c>
      <c r="P66" s="59">
        <v>12617067</v>
      </c>
      <c r="Q66" s="22">
        <v>362542516</v>
      </c>
      <c r="R66" s="59">
        <f>P66*C15</f>
        <v>63085335</v>
      </c>
      <c r="S66" s="32">
        <f t="shared" si="9"/>
        <v>28.734294269817223</v>
      </c>
      <c r="W66" s="84"/>
      <c r="X66" s="84"/>
      <c r="Y66" s="84"/>
      <c r="Z66" s="84"/>
      <c r="AA66" s="84"/>
    </row>
    <row r="67" spans="2:27" x14ac:dyDescent="0.25">
      <c r="B67" s="25">
        <v>0.1</v>
      </c>
      <c r="C67" s="30">
        <v>10</v>
      </c>
      <c r="D67" s="19" t="s">
        <v>13</v>
      </c>
      <c r="E67" s="31">
        <v>5</v>
      </c>
      <c r="G67" s="67">
        <v>213</v>
      </c>
      <c r="H67" s="28">
        <v>11999189</v>
      </c>
      <c r="I67" s="28">
        <v>10545488</v>
      </c>
      <c r="J67" s="28">
        <v>486608139</v>
      </c>
      <c r="K67" s="22">
        <f t="shared" si="10"/>
        <v>119991890</v>
      </c>
      <c r="L67" s="29">
        <f t="shared" si="8"/>
        <v>46.143728862998088</v>
      </c>
      <c r="M67" s="74"/>
      <c r="N67" s="19">
        <v>222</v>
      </c>
      <c r="O67" s="22">
        <v>12543485</v>
      </c>
      <c r="P67" s="59">
        <v>10504688</v>
      </c>
      <c r="Q67" s="22">
        <v>490121857</v>
      </c>
      <c r="R67" s="59">
        <f>P67*C16</f>
        <v>105046880</v>
      </c>
      <c r="S67" s="32">
        <f t="shared" si="9"/>
        <v>46.657440658875352</v>
      </c>
    </row>
    <row r="68" spans="2:27" x14ac:dyDescent="0.25">
      <c r="B68" s="33">
        <v>7.4999999999999997E-2</v>
      </c>
      <c r="C68" s="30">
        <v>13.3</v>
      </c>
      <c r="D68" s="19" t="s">
        <v>13</v>
      </c>
      <c r="E68" s="31">
        <v>6</v>
      </c>
      <c r="G68" s="67">
        <v>221</v>
      </c>
      <c r="H68" s="28">
        <v>11672485</v>
      </c>
      <c r="I68" s="28">
        <v>10250547</v>
      </c>
      <c r="J68" s="28">
        <v>460244554</v>
      </c>
      <c r="K68" s="22">
        <f t="shared" si="10"/>
        <v>155244050.5</v>
      </c>
      <c r="L68" s="29">
        <f t="shared" si="8"/>
        <v>44.899511606551336</v>
      </c>
      <c r="M68" s="74"/>
      <c r="N68" s="19">
        <v>176</v>
      </c>
      <c r="O68" s="22">
        <v>10142536</v>
      </c>
      <c r="P68" s="59">
        <v>8460686</v>
      </c>
      <c r="Q68" s="22">
        <v>590630931</v>
      </c>
      <c r="R68" s="59">
        <f>P68*C17</f>
        <v>112527123.80000001</v>
      </c>
      <c r="S68" s="32">
        <f t="shared" si="9"/>
        <v>69.808870226362259</v>
      </c>
    </row>
    <row r="69" spans="2:27" x14ac:dyDescent="0.25">
      <c r="B69" s="25">
        <v>0.05</v>
      </c>
      <c r="C69" s="30">
        <v>20</v>
      </c>
      <c r="D69" s="19" t="s">
        <v>13</v>
      </c>
      <c r="E69" s="31">
        <v>7</v>
      </c>
      <c r="G69" s="67">
        <v>172</v>
      </c>
      <c r="H69" s="28">
        <v>9526603</v>
      </c>
      <c r="I69" s="28">
        <v>8291140</v>
      </c>
      <c r="J69" s="28">
        <v>561166909</v>
      </c>
      <c r="K69" s="22">
        <f t="shared" si="10"/>
        <v>190532060</v>
      </c>
      <c r="L69" s="29">
        <f t="shared" si="8"/>
        <v>67.68272022906379</v>
      </c>
      <c r="M69" s="74"/>
      <c r="N69" s="19">
        <v>195</v>
      </c>
      <c r="O69" s="22">
        <v>9425263</v>
      </c>
      <c r="P69" s="59">
        <v>8111006</v>
      </c>
      <c r="Q69" s="22">
        <v>552912843</v>
      </c>
      <c r="R69" s="88">
        <f>P69*C18</f>
        <v>162220120</v>
      </c>
      <c r="S69" s="32">
        <f t="shared" si="9"/>
        <v>68.168220193647983</v>
      </c>
    </row>
    <row r="70" spans="2:27" x14ac:dyDescent="0.25">
      <c r="B70" s="25">
        <v>0.05</v>
      </c>
      <c r="C70" s="34">
        <v>20</v>
      </c>
      <c r="D70" s="35" t="s">
        <v>13</v>
      </c>
      <c r="E70" s="36">
        <v>8</v>
      </c>
      <c r="G70" s="68">
        <v>201</v>
      </c>
      <c r="H70" s="39">
        <v>12939057</v>
      </c>
      <c r="I70" s="39">
        <v>11202027</v>
      </c>
      <c r="J70" s="39">
        <v>694716079</v>
      </c>
      <c r="K70" s="69">
        <f t="shared" si="10"/>
        <v>258781140</v>
      </c>
      <c r="L70" s="29">
        <f t="shared" si="8"/>
        <v>62.016997370208088</v>
      </c>
      <c r="M70" s="74"/>
      <c r="N70" s="35">
        <v>150</v>
      </c>
      <c r="O70" s="41">
        <v>9436351</v>
      </c>
      <c r="P70" s="85">
        <v>7734643</v>
      </c>
      <c r="Q70" s="41">
        <v>593910838</v>
      </c>
      <c r="R70" s="85">
        <f>P70*C18</f>
        <v>154692860</v>
      </c>
      <c r="S70" s="34">
        <f t="shared" si="9"/>
        <v>76.785811316695543</v>
      </c>
    </row>
    <row r="71" spans="2:27" x14ac:dyDescent="0.25">
      <c r="R71" s="66"/>
    </row>
    <row r="72" spans="2:27" x14ac:dyDescent="0.25">
      <c r="C72" s="47"/>
      <c r="D72" s="47" t="s">
        <v>14</v>
      </c>
      <c r="E72" s="47"/>
      <c r="G72" s="4">
        <f>SUM(G61:G71)</f>
        <v>3063</v>
      </c>
      <c r="H72" s="49">
        <f>SUM(H61:H71)</f>
        <v>147734421</v>
      </c>
      <c r="I72" s="49">
        <f>SUM(I61:I71)</f>
        <v>131423964</v>
      </c>
      <c r="J72" s="49">
        <f>SUM(J63:J71)</f>
        <v>3743609149</v>
      </c>
      <c r="K72" s="50">
        <f>SUM(K65:K71)</f>
        <v>851197598</v>
      </c>
      <c r="L72" s="47"/>
      <c r="M72" s="47"/>
      <c r="N72" s="75">
        <f>SUM(N61:N70)</f>
        <v>3166</v>
      </c>
      <c r="O72" s="86">
        <f t="shared" ref="O72:Q72" si="11">SUM(O61:O70)</f>
        <v>152567030</v>
      </c>
      <c r="P72" s="86">
        <f>SUM(P61:P70)</f>
        <v>131071147</v>
      </c>
      <c r="Q72" s="86">
        <f t="shared" si="11"/>
        <v>3906502696</v>
      </c>
      <c r="R72" s="50">
        <f>SUM(R65:R71)</f>
        <v>639140506.29999995</v>
      </c>
    </row>
    <row r="74" spans="2:27" x14ac:dyDescent="0.25">
      <c r="G74" s="13"/>
      <c r="H74" s="52" t="s">
        <v>26</v>
      </c>
      <c r="I74" s="53">
        <v>0.72699999999999998</v>
      </c>
      <c r="J74" s="52"/>
      <c r="K74" s="52"/>
      <c r="L74" s="14"/>
      <c r="N74" s="13"/>
      <c r="O74" s="52" t="s">
        <v>26</v>
      </c>
      <c r="P74" s="53">
        <v>0.65500000000000003</v>
      </c>
      <c r="Q74" s="52"/>
      <c r="R74" s="52"/>
      <c r="S74" s="14"/>
    </row>
    <row r="75" spans="2:27" x14ac:dyDescent="0.25">
      <c r="G75" s="19"/>
      <c r="H75" s="47"/>
      <c r="I75" s="47"/>
      <c r="J75" s="47"/>
      <c r="K75" s="47"/>
      <c r="L75" s="20"/>
      <c r="N75" s="19"/>
      <c r="O75" s="47"/>
      <c r="P75" s="47"/>
      <c r="Q75" s="47"/>
      <c r="R75" s="47"/>
      <c r="S75" s="20"/>
    </row>
    <row r="76" spans="2:27" x14ac:dyDescent="0.25">
      <c r="G76" s="83">
        <f>H61/G61</f>
        <v>62589.7</v>
      </c>
      <c r="H76" s="70" t="s">
        <v>27</v>
      </c>
      <c r="I76" s="71">
        <f>H72-I72</f>
        <v>16310457</v>
      </c>
      <c r="J76" s="47"/>
      <c r="K76" s="47"/>
      <c r="L76" s="28">
        <f>(L65+L66+L67+L68+L69+L70)/6</f>
        <v>46.795685362983725</v>
      </c>
      <c r="N76" s="19"/>
      <c r="O76" s="70" t="s">
        <v>27</v>
      </c>
      <c r="P76" s="71">
        <f>O72-P72</f>
        <v>21495883</v>
      </c>
      <c r="Q76" s="47"/>
      <c r="R76" s="47"/>
      <c r="S76" s="89">
        <f>(S65+S66+S67+S68+S69+S70)/6</f>
        <v>52.541041064161767</v>
      </c>
    </row>
    <row r="77" spans="2:27" x14ac:dyDescent="0.25">
      <c r="G77" s="19"/>
      <c r="H77" s="47"/>
      <c r="I77" s="47"/>
      <c r="J77" s="47"/>
      <c r="K77" s="47"/>
      <c r="L77" s="20"/>
      <c r="N77" s="19"/>
      <c r="O77" s="47"/>
      <c r="P77" s="47"/>
      <c r="Q77" s="47"/>
      <c r="R77" s="47"/>
      <c r="S77" s="20"/>
      <c r="U77" t="s">
        <v>38</v>
      </c>
    </row>
    <row r="78" spans="2:27" x14ac:dyDescent="0.25">
      <c r="G78" s="19"/>
      <c r="H78" s="47"/>
      <c r="I78" s="90">
        <v>131005000</v>
      </c>
      <c r="J78" s="47"/>
      <c r="K78" s="47"/>
      <c r="L78" s="20"/>
      <c r="N78" s="19"/>
      <c r="O78" s="47"/>
      <c r="P78" s="90">
        <v>131005000</v>
      </c>
      <c r="Q78" s="47"/>
      <c r="R78" s="47"/>
      <c r="S78" s="20"/>
    </row>
    <row r="79" spans="2:27" x14ac:dyDescent="0.25">
      <c r="G79" s="35"/>
      <c r="H79" s="63" t="s">
        <v>34</v>
      </c>
      <c r="I79" s="63"/>
      <c r="J79" s="63"/>
      <c r="K79" s="63"/>
      <c r="L79" s="76"/>
      <c r="M79" s="77"/>
      <c r="N79" s="78"/>
      <c r="O79" s="63" t="s">
        <v>34</v>
      </c>
      <c r="P79" s="63"/>
      <c r="Q79" s="63"/>
      <c r="R79" s="63"/>
      <c r="S79" s="44"/>
    </row>
    <row r="81" spans="2:18" ht="15.75" thickBot="1" x14ac:dyDescent="0.3"/>
    <row r="82" spans="2:18" ht="15.75" thickBot="1" x14ac:dyDescent="0.3">
      <c r="G82" s="73" t="s">
        <v>33</v>
      </c>
      <c r="H82" s="7"/>
      <c r="I82" s="79" t="s">
        <v>66</v>
      </c>
      <c r="J82" s="80"/>
      <c r="K82" s="81"/>
      <c r="L82" s="82"/>
    </row>
    <row r="84" spans="2:18" x14ac:dyDescent="0.25">
      <c r="G84" s="10" t="s">
        <v>6</v>
      </c>
      <c r="H84" s="10" t="s">
        <v>7</v>
      </c>
      <c r="I84" s="10" t="s">
        <v>8</v>
      </c>
      <c r="J84" s="10" t="s">
        <v>9</v>
      </c>
      <c r="K84" s="11" t="s">
        <v>10</v>
      </c>
      <c r="L84" s="11" t="s">
        <v>11</v>
      </c>
    </row>
    <row r="86" spans="2:18" x14ac:dyDescent="0.25">
      <c r="C86" s="12"/>
      <c r="D86" s="13"/>
      <c r="E86" s="14"/>
      <c r="G86" s="13"/>
      <c r="H86" s="12"/>
      <c r="I86" s="52"/>
      <c r="J86" s="12"/>
      <c r="K86" s="12"/>
      <c r="L86" s="12"/>
    </row>
    <row r="87" spans="2:18" x14ac:dyDescent="0.25">
      <c r="C87" s="18"/>
      <c r="D87" s="19" t="s">
        <v>12</v>
      </c>
      <c r="E87" s="20"/>
      <c r="G87" s="19">
        <v>85</v>
      </c>
      <c r="H87" s="22">
        <v>6462214</v>
      </c>
      <c r="I87" s="59">
        <v>4246395</v>
      </c>
      <c r="J87" s="22">
        <v>0</v>
      </c>
      <c r="K87" s="18"/>
      <c r="L87" s="18"/>
    </row>
    <row r="88" spans="2:18" x14ac:dyDescent="0.25">
      <c r="C88" s="18"/>
      <c r="D88" s="19"/>
      <c r="E88" s="20"/>
      <c r="G88" s="19"/>
      <c r="H88" s="22"/>
      <c r="I88" s="59"/>
      <c r="J88" s="22"/>
      <c r="K88" s="18"/>
      <c r="L88" s="18"/>
    </row>
    <row r="89" spans="2:18" x14ac:dyDescent="0.25">
      <c r="B89" s="25">
        <v>0</v>
      </c>
      <c r="C89" s="26">
        <v>0</v>
      </c>
      <c r="D89" s="19" t="s">
        <v>13</v>
      </c>
      <c r="E89" s="27">
        <v>1</v>
      </c>
      <c r="G89" s="19">
        <v>1308</v>
      </c>
      <c r="H89" s="22">
        <v>54429322</v>
      </c>
      <c r="I89" s="59">
        <v>42482366</v>
      </c>
      <c r="J89" s="22">
        <v>471209971</v>
      </c>
      <c r="K89" s="18"/>
      <c r="L89" s="29">
        <f>J89/H89</f>
        <v>8.6572816578534635</v>
      </c>
    </row>
    <row r="90" spans="2:18" x14ac:dyDescent="0.25">
      <c r="B90" s="25">
        <v>0</v>
      </c>
      <c r="C90" s="26">
        <v>0</v>
      </c>
      <c r="D90" s="19" t="s">
        <v>13</v>
      </c>
      <c r="E90" s="27">
        <v>2</v>
      </c>
      <c r="G90" s="19">
        <v>797</v>
      </c>
      <c r="H90" s="22">
        <v>36843469</v>
      </c>
      <c r="I90" s="59">
        <v>27277261</v>
      </c>
      <c r="J90" s="22">
        <v>595931131</v>
      </c>
      <c r="K90" s="18"/>
      <c r="L90" s="29">
        <f t="shared" ref="L90:L96" si="12">J90/H90</f>
        <v>16.174674838571796</v>
      </c>
    </row>
    <row r="91" spans="2:18" x14ac:dyDescent="0.25">
      <c r="B91" s="25">
        <v>0.4</v>
      </c>
      <c r="C91" s="30">
        <v>2.5</v>
      </c>
      <c r="D91" s="19" t="s">
        <v>13</v>
      </c>
      <c r="E91" s="31">
        <v>3</v>
      </c>
      <c r="G91" s="19">
        <v>463</v>
      </c>
      <c r="H91" s="22">
        <v>23068579</v>
      </c>
      <c r="I91" s="59">
        <v>16601859</v>
      </c>
      <c r="J91" s="22">
        <v>507811575</v>
      </c>
      <c r="K91" s="22">
        <f>H91*C91</f>
        <v>57671447.5</v>
      </c>
      <c r="L91" s="32">
        <f>J91/H91</f>
        <v>22.013127683330648</v>
      </c>
    </row>
    <row r="92" spans="2:18" x14ac:dyDescent="0.25">
      <c r="B92" s="25">
        <v>0.2</v>
      </c>
      <c r="C92" s="30">
        <v>5</v>
      </c>
      <c r="D92" s="19" t="s">
        <v>13</v>
      </c>
      <c r="E92" s="31">
        <v>4</v>
      </c>
      <c r="G92" s="19">
        <v>305</v>
      </c>
      <c r="H92" s="22">
        <v>17252746</v>
      </c>
      <c r="I92" s="59">
        <v>12019736</v>
      </c>
      <c r="J92" s="22">
        <v>504657739</v>
      </c>
      <c r="K92" s="22">
        <f t="shared" ref="K92:K95" si="13">H92*C92</f>
        <v>86263730</v>
      </c>
      <c r="L92" s="32">
        <f>J92/H92</f>
        <v>29.250864702929029</v>
      </c>
    </row>
    <row r="93" spans="2:18" x14ac:dyDescent="0.25">
      <c r="B93" s="25">
        <v>0.1</v>
      </c>
      <c r="C93" s="30">
        <v>10</v>
      </c>
      <c r="D93" s="19" t="s">
        <v>13</v>
      </c>
      <c r="E93" s="31">
        <v>5</v>
      </c>
      <c r="G93" s="19">
        <v>238</v>
      </c>
      <c r="H93" s="22">
        <v>12296040</v>
      </c>
      <c r="I93" s="59">
        <v>8631100</v>
      </c>
      <c r="J93" s="22">
        <v>380099811</v>
      </c>
      <c r="K93" s="22">
        <f t="shared" si="13"/>
        <v>122960400</v>
      </c>
      <c r="L93" s="32">
        <f t="shared" si="12"/>
        <v>30.912375935667093</v>
      </c>
    </row>
    <row r="94" spans="2:18" x14ac:dyDescent="0.25">
      <c r="B94" s="33">
        <v>7.4999999999999997E-2</v>
      </c>
      <c r="C94" s="30">
        <v>13.3</v>
      </c>
      <c r="D94" s="19" t="s">
        <v>13</v>
      </c>
      <c r="E94" s="31">
        <v>6</v>
      </c>
      <c r="G94" s="19">
        <v>196</v>
      </c>
      <c r="H94" s="22">
        <v>11605410</v>
      </c>
      <c r="I94" s="59">
        <v>7776515</v>
      </c>
      <c r="J94" s="22">
        <v>488264443</v>
      </c>
      <c r="K94" s="22">
        <f t="shared" si="13"/>
        <v>154351953</v>
      </c>
      <c r="L94" s="32">
        <f t="shared" si="12"/>
        <v>42.072140751597743</v>
      </c>
    </row>
    <row r="95" spans="2:18" x14ac:dyDescent="0.25">
      <c r="B95" s="25">
        <v>0.05</v>
      </c>
      <c r="C95" s="30">
        <v>20</v>
      </c>
      <c r="D95" s="19" t="s">
        <v>13</v>
      </c>
      <c r="E95" s="31">
        <v>7</v>
      </c>
      <c r="G95" s="19">
        <v>151</v>
      </c>
      <c r="H95" s="22">
        <v>8703332</v>
      </c>
      <c r="I95" s="59">
        <v>5832717</v>
      </c>
      <c r="J95" s="22">
        <v>560671819</v>
      </c>
      <c r="K95" s="22">
        <f t="shared" si="13"/>
        <v>174066640</v>
      </c>
      <c r="L95" s="32">
        <f t="shared" si="12"/>
        <v>64.420364407562531</v>
      </c>
    </row>
    <row r="96" spans="2:18" x14ac:dyDescent="0.25">
      <c r="C96" s="34">
        <v>20</v>
      </c>
      <c r="D96" s="35" t="s">
        <v>13</v>
      </c>
      <c r="E96" s="36">
        <v>8</v>
      </c>
      <c r="G96" s="35">
        <v>163</v>
      </c>
      <c r="H96" s="41">
        <v>9099980</v>
      </c>
      <c r="I96" s="85">
        <v>6341878</v>
      </c>
      <c r="J96" s="41">
        <v>543644478</v>
      </c>
      <c r="K96" s="41">
        <f>H96*C96</f>
        <v>181999600</v>
      </c>
      <c r="L96" s="109">
        <f t="shared" si="12"/>
        <v>59.741282728093907</v>
      </c>
      <c r="O96" t="s">
        <v>71</v>
      </c>
      <c r="R96" s="66">
        <f>AVERAGE(K21,R21,K46,R46,K72,R72,K98)</f>
        <v>696468164.95714283</v>
      </c>
    </row>
    <row r="98" spans="3:12" x14ac:dyDescent="0.25">
      <c r="C98" s="47"/>
      <c r="D98" s="47" t="s">
        <v>14</v>
      </c>
      <c r="E98" s="47"/>
      <c r="G98" s="75">
        <f>SUM(G87:G96)</f>
        <v>3706</v>
      </c>
      <c r="H98" s="86">
        <f>SUM(H87:H96)</f>
        <v>179761092</v>
      </c>
      <c r="I98" s="86">
        <f>SUM(I87:I96)</f>
        <v>131209827</v>
      </c>
      <c r="J98" s="86">
        <f t="shared" ref="J98" si="14">SUM(J87:J96)</f>
        <v>4052290967</v>
      </c>
      <c r="K98" s="50">
        <f>SUM(K91:K96)</f>
        <v>777313770.5</v>
      </c>
    </row>
    <row r="100" spans="3:12" x14ac:dyDescent="0.25">
      <c r="G100" s="13"/>
      <c r="H100" s="52" t="s">
        <v>26</v>
      </c>
      <c r="I100" s="53">
        <v>0.29239999999999999</v>
      </c>
      <c r="J100" s="52"/>
      <c r="K100" s="52"/>
      <c r="L100" s="14"/>
    </row>
    <row r="101" spans="3:12" x14ac:dyDescent="0.25">
      <c r="G101" s="19"/>
      <c r="H101" s="47"/>
      <c r="I101" s="47"/>
      <c r="J101" s="47"/>
      <c r="K101" s="47"/>
      <c r="L101" s="20"/>
    </row>
    <row r="102" spans="3:12" x14ac:dyDescent="0.25">
      <c r="G102" s="19"/>
      <c r="H102" s="70" t="s">
        <v>27</v>
      </c>
      <c r="I102" s="71">
        <v>-45414423</v>
      </c>
      <c r="J102" s="47"/>
      <c r="K102" s="47"/>
      <c r="L102" s="28">
        <f>(L91+L92+L93+L94+L95+L96)/6</f>
        <v>41.401692701530152</v>
      </c>
    </row>
    <row r="103" spans="3:12" x14ac:dyDescent="0.25">
      <c r="G103" s="19"/>
      <c r="H103" s="47"/>
      <c r="I103" s="47"/>
      <c r="J103" s="47"/>
      <c r="K103" s="47"/>
      <c r="L103" s="20"/>
    </row>
    <row r="104" spans="3:12" x14ac:dyDescent="0.25">
      <c r="G104" s="19"/>
      <c r="H104" s="47"/>
      <c r="I104" s="59">
        <v>131005000</v>
      </c>
      <c r="J104" s="47"/>
      <c r="K104" s="47"/>
      <c r="L104" s="20"/>
    </row>
    <row r="105" spans="3:12" x14ac:dyDescent="0.25">
      <c r="G105" s="78"/>
      <c r="H105" s="63" t="s">
        <v>34</v>
      </c>
      <c r="I105" s="63"/>
      <c r="J105" s="63"/>
      <c r="K105" s="63"/>
      <c r="L105" s="44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selection activeCell="T42" sqref="T42"/>
    </sheetView>
  </sheetViews>
  <sheetFormatPr defaultRowHeight="15" x14ac:dyDescent="0.25"/>
  <cols>
    <col min="2" max="2" width="51.7109375" bestFit="1" customWidth="1"/>
    <col min="3" max="3" width="5.28515625" customWidth="1"/>
    <col min="4" max="4" width="18" bestFit="1" customWidth="1"/>
    <col min="5" max="5" width="2.85546875" customWidth="1"/>
    <col min="6" max="6" width="16.85546875" bestFit="1" customWidth="1"/>
    <col min="7" max="7" width="3.28515625" customWidth="1"/>
    <col min="8" max="8" width="16.85546875" bestFit="1" customWidth="1"/>
    <col min="9" max="9" width="2.7109375" customWidth="1"/>
    <col min="10" max="10" width="16.85546875" bestFit="1" customWidth="1"/>
    <col min="11" max="11" width="2.85546875" customWidth="1"/>
    <col min="12" max="12" width="16.85546875" bestFit="1" customWidth="1"/>
    <col min="13" max="13" width="3.85546875" customWidth="1"/>
    <col min="14" max="14" width="16.85546875" bestFit="1" customWidth="1"/>
    <col min="15" max="15" width="3.28515625" customWidth="1"/>
    <col min="16" max="16" width="16.28515625" customWidth="1"/>
    <col min="17" max="17" width="3.85546875" customWidth="1"/>
    <col min="18" max="18" width="16.28515625" bestFit="1" customWidth="1"/>
  </cols>
  <sheetData>
    <row r="1" spans="1:21" x14ac:dyDescent="0.25">
      <c r="A1" s="5"/>
      <c r="B1" s="4" t="s">
        <v>39</v>
      </c>
      <c r="C1" s="72"/>
      <c r="D1" s="72" t="s">
        <v>40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5"/>
      <c r="T1" s="47"/>
      <c r="U1" s="47"/>
    </row>
    <row r="2" spans="1:21" ht="15.75" thickBot="1" x14ac:dyDescent="0.3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x14ac:dyDescent="0.25">
      <c r="R3" s="129" t="s">
        <v>72</v>
      </c>
    </row>
    <row r="4" spans="1:21" x14ac:dyDescent="0.25">
      <c r="B4" s="106" t="s">
        <v>60</v>
      </c>
      <c r="C4" s="47"/>
      <c r="D4" s="93" t="s">
        <v>1</v>
      </c>
      <c r="E4" s="92"/>
      <c r="F4" s="93" t="s">
        <v>3</v>
      </c>
      <c r="G4" s="92"/>
      <c r="H4" s="93" t="s">
        <v>23</v>
      </c>
      <c r="I4" s="92"/>
      <c r="J4" s="93" t="s">
        <v>25</v>
      </c>
      <c r="K4" s="92"/>
      <c r="L4" s="93" t="s">
        <v>32</v>
      </c>
      <c r="M4" s="92"/>
      <c r="N4" s="93" t="s">
        <v>38</v>
      </c>
      <c r="O4" s="110"/>
      <c r="P4" s="93" t="s">
        <v>45</v>
      </c>
      <c r="R4" s="119" t="s">
        <v>67</v>
      </c>
    </row>
    <row r="5" spans="1:21" x14ac:dyDescent="0.25">
      <c r="R5" s="120"/>
    </row>
    <row r="6" spans="1:21" x14ac:dyDescent="0.25">
      <c r="B6" t="s">
        <v>41</v>
      </c>
      <c r="D6">
        <f>'Detailed analysis by grant year'!G21</f>
        <v>2978</v>
      </c>
      <c r="F6">
        <f>'Detailed analysis by grant year'!N21</f>
        <v>2768</v>
      </c>
      <c r="H6">
        <f>'Detailed analysis by grant year'!G46</f>
        <v>2435</v>
      </c>
      <c r="J6">
        <f>'Detailed analysis by grant year'!N46</f>
        <v>3134</v>
      </c>
      <c r="L6">
        <f>'Detailed analysis by grant year'!G72</f>
        <v>3063</v>
      </c>
      <c r="N6" s="91">
        <f>'Detailed analysis by grant year'!N72</f>
        <v>3166</v>
      </c>
      <c r="O6" s="91"/>
      <c r="P6" s="91">
        <f>'Detailed analysis by grant year'!G98</f>
        <v>3706</v>
      </c>
      <c r="R6" s="121">
        <f>P6*1.1</f>
        <v>4076.6000000000004</v>
      </c>
    </row>
    <row r="7" spans="1:21" x14ac:dyDescent="0.25">
      <c r="R7" s="120"/>
    </row>
    <row r="8" spans="1:21" x14ac:dyDescent="0.25">
      <c r="B8" t="s">
        <v>43</v>
      </c>
      <c r="D8" s="91">
        <f>'Detailed analysis by grant year'!I21</f>
        <v>125083675</v>
      </c>
      <c r="E8" s="94"/>
      <c r="F8" s="91">
        <f>'Detailed analysis by grant year'!P21</f>
        <v>120752733</v>
      </c>
      <c r="G8" s="91"/>
      <c r="H8" s="91">
        <f>'Detailed analysis by grant year'!H46</f>
        <v>113087953</v>
      </c>
      <c r="I8" s="91"/>
      <c r="J8" s="91">
        <f>'Detailed analysis by grant year'!O46</f>
        <v>153727921</v>
      </c>
      <c r="K8" s="91"/>
      <c r="L8" s="91">
        <f>'Detailed analysis by grant year'!H72</f>
        <v>147734421</v>
      </c>
      <c r="M8" s="91"/>
      <c r="N8" s="91">
        <f>'Detailed analysis by grant year'!O72</f>
        <v>152567030</v>
      </c>
      <c r="O8" s="91"/>
      <c r="P8" s="91">
        <f>'Detailed analysis by grant year'!H98</f>
        <v>179761092</v>
      </c>
      <c r="Q8" s="91"/>
      <c r="R8" s="121">
        <f>P8*1.1</f>
        <v>197737201.20000002</v>
      </c>
    </row>
    <row r="9" spans="1:21" x14ac:dyDescent="0.25">
      <c r="D9" s="94"/>
      <c r="E9" s="94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121"/>
    </row>
    <row r="10" spans="1:21" x14ac:dyDescent="0.25">
      <c r="B10" t="s">
        <v>42</v>
      </c>
      <c r="D10" s="96">
        <f>'Detailed analysis by grant year'!I21</f>
        <v>125083675</v>
      </c>
      <c r="E10" s="94"/>
      <c r="F10" s="96">
        <f>'Detailed analysis by grant year'!P21</f>
        <v>120752733</v>
      </c>
      <c r="G10" s="91"/>
      <c r="H10" s="96">
        <f>'Detailed analysis by grant year'!I46</f>
        <v>113087953</v>
      </c>
      <c r="I10" s="91"/>
      <c r="J10" s="96">
        <f>'Detailed analysis by grant year'!P46</f>
        <v>140349474</v>
      </c>
      <c r="K10" s="91"/>
      <c r="L10" s="96">
        <f>'Detailed analysis by grant year'!I72</f>
        <v>131423964</v>
      </c>
      <c r="M10" s="91"/>
      <c r="N10" s="96">
        <f>'Detailed analysis by grant year'!P72</f>
        <v>131071147</v>
      </c>
      <c r="O10" s="96"/>
      <c r="P10" s="96">
        <f>'Detailed analysis by grant year'!I98</f>
        <v>131209827</v>
      </c>
      <c r="Q10" s="91"/>
      <c r="R10" s="121">
        <v>131200000</v>
      </c>
    </row>
    <row r="11" spans="1:21" x14ac:dyDescent="0.25">
      <c r="D11" s="96"/>
      <c r="E11" s="94"/>
      <c r="F11" s="96"/>
      <c r="G11" s="91"/>
      <c r="H11" s="96"/>
      <c r="I11" s="91"/>
      <c r="J11" s="96"/>
      <c r="K11" s="91"/>
      <c r="L11" s="96"/>
      <c r="M11" s="91"/>
      <c r="N11" s="96"/>
      <c r="O11" s="96"/>
      <c r="P11" s="96"/>
      <c r="Q11" s="91"/>
      <c r="R11" s="121"/>
    </row>
    <row r="12" spans="1:21" x14ac:dyDescent="0.25">
      <c r="B12" t="s">
        <v>44</v>
      </c>
      <c r="D12" s="96">
        <f>'Detailed analysis by grant year'!H26</f>
        <v>142880000</v>
      </c>
      <c r="E12" s="94"/>
      <c r="F12" s="96">
        <f>'Detailed analysis by grant year'!O26</f>
        <v>119130000</v>
      </c>
      <c r="G12" s="91"/>
      <c r="H12" s="96">
        <f>'Detailed analysis by grant year'!H52</f>
        <v>131005000</v>
      </c>
      <c r="I12" s="91"/>
      <c r="J12" s="96">
        <f>'Detailed analysis by grant year'!P52</f>
        <v>131005000</v>
      </c>
      <c r="K12" s="91"/>
      <c r="L12" s="96">
        <f>'Detailed analysis by grant year'!I78</f>
        <v>131005000</v>
      </c>
      <c r="M12" s="91"/>
      <c r="N12" s="96">
        <f>'Detailed analysis by grant year'!P78</f>
        <v>131005000</v>
      </c>
      <c r="O12" s="96"/>
      <c r="P12" s="96">
        <f>'Detailed analysis by grant year'!I104</f>
        <v>131005000</v>
      </c>
      <c r="Q12" s="91"/>
      <c r="R12" s="130">
        <f>N12</f>
        <v>131005000</v>
      </c>
    </row>
    <row r="13" spans="1:21" x14ac:dyDescent="0.25">
      <c r="D13" s="94"/>
      <c r="E13" s="94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121"/>
    </row>
    <row r="14" spans="1:21" ht="18.75" x14ac:dyDescent="0.3">
      <c r="B14" s="111" t="s">
        <v>53</v>
      </c>
      <c r="C14" s="104"/>
      <c r="D14" s="94"/>
      <c r="E14" s="94"/>
      <c r="F14" s="91"/>
      <c r="G14" s="91"/>
      <c r="H14" s="91"/>
      <c r="I14" s="91"/>
      <c r="J14" s="97">
        <f>'Detailed analysis by grant year'!P50</f>
        <v>13378447</v>
      </c>
      <c r="K14" s="98"/>
      <c r="L14" s="97">
        <f>'Detailed analysis by grant year'!I76</f>
        <v>16310457</v>
      </c>
      <c r="M14" s="98"/>
      <c r="N14" s="97">
        <f>'Detailed analysis by grant year'!P76</f>
        <v>21495883</v>
      </c>
      <c r="O14" s="97"/>
      <c r="P14" s="97">
        <f>'Detailed analysis by grant year'!I102</f>
        <v>-45414423</v>
      </c>
      <c r="Q14" s="91"/>
      <c r="R14" s="122">
        <f>R8-R12</f>
        <v>66732201.200000018</v>
      </c>
    </row>
    <row r="15" spans="1:21" x14ac:dyDescent="0.25">
      <c r="B15" s="104"/>
      <c r="C15" s="104"/>
      <c r="D15" s="94"/>
      <c r="E15" s="94"/>
      <c r="F15" s="91"/>
      <c r="G15" s="91"/>
      <c r="H15" s="91"/>
      <c r="I15" s="91"/>
      <c r="J15" s="97"/>
      <c r="K15" s="98"/>
      <c r="L15" s="97"/>
      <c r="M15" s="98"/>
      <c r="N15" s="97"/>
      <c r="O15" s="97"/>
      <c r="P15" s="97"/>
      <c r="Q15" s="91"/>
      <c r="R15" s="122"/>
    </row>
    <row r="16" spans="1:21" ht="19.5" thickBot="1" x14ac:dyDescent="0.35">
      <c r="D16" s="94"/>
      <c r="E16" s="94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123" t="s">
        <v>68</v>
      </c>
    </row>
    <row r="17" spans="2:18" ht="19.5" thickBot="1" x14ac:dyDescent="0.35">
      <c r="B17" s="112"/>
      <c r="C17" s="112"/>
      <c r="D17" s="113"/>
      <c r="E17" s="113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5"/>
    </row>
    <row r="18" spans="2:18" ht="19.5" thickTop="1" x14ac:dyDescent="0.3">
      <c r="D18" s="94"/>
      <c r="E18" s="94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105"/>
    </row>
    <row r="19" spans="2:18" ht="19.5" thickBot="1" x14ac:dyDescent="0.35">
      <c r="B19" s="106" t="s">
        <v>61</v>
      </c>
      <c r="D19" s="94"/>
      <c r="E19" s="94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105"/>
    </row>
    <row r="20" spans="2:18" ht="18.75" x14ac:dyDescent="0.3">
      <c r="D20" s="94"/>
      <c r="E20" s="94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124"/>
    </row>
    <row r="21" spans="2:18" ht="18.75" x14ac:dyDescent="0.3">
      <c r="B21" t="s">
        <v>62</v>
      </c>
      <c r="D21" s="66">
        <v>150000</v>
      </c>
      <c r="E21" s="66"/>
      <c r="F21" s="66">
        <v>150000</v>
      </c>
      <c r="G21" s="66"/>
      <c r="H21" s="66">
        <v>150000</v>
      </c>
      <c r="I21" s="66"/>
      <c r="J21" s="66">
        <v>150000</v>
      </c>
      <c r="K21" s="66"/>
      <c r="L21" s="66">
        <v>150000</v>
      </c>
      <c r="M21" s="66"/>
      <c r="N21" s="66">
        <v>150000</v>
      </c>
      <c r="O21" s="66"/>
      <c r="P21" s="66">
        <v>150000</v>
      </c>
      <c r="Q21" s="66"/>
      <c r="R21" s="125">
        <v>150000</v>
      </c>
    </row>
    <row r="22" spans="2:18" ht="18.75" x14ac:dyDescent="0.3">
      <c r="B22" t="s">
        <v>63</v>
      </c>
      <c r="D22" s="66">
        <v>60000</v>
      </c>
      <c r="E22" s="66"/>
      <c r="F22" s="66">
        <v>60000</v>
      </c>
      <c r="G22" s="66"/>
      <c r="H22" s="66">
        <v>60000</v>
      </c>
      <c r="I22" s="66"/>
      <c r="J22" s="66">
        <v>40000</v>
      </c>
      <c r="K22" s="66"/>
      <c r="L22" s="66">
        <v>40000</v>
      </c>
      <c r="M22" s="66"/>
      <c r="N22" s="66">
        <v>40000</v>
      </c>
      <c r="O22" s="66"/>
      <c r="P22" s="66">
        <v>40000</v>
      </c>
      <c r="Q22" s="66"/>
      <c r="R22" s="125">
        <v>40000</v>
      </c>
    </row>
    <row r="23" spans="2:18" x14ac:dyDescent="0.25">
      <c r="B23" t="s">
        <v>64</v>
      </c>
      <c r="D23" s="33">
        <v>1</v>
      </c>
      <c r="E23" s="94"/>
      <c r="F23" s="33">
        <v>1</v>
      </c>
      <c r="G23" s="91"/>
      <c r="H23" s="33">
        <v>1</v>
      </c>
      <c r="J23" s="107">
        <v>0.65280000000000005</v>
      </c>
      <c r="K23" s="108"/>
      <c r="L23" s="107">
        <v>0.72660000000000002</v>
      </c>
      <c r="M23" s="108"/>
      <c r="N23" s="107">
        <v>0.64500000000000002</v>
      </c>
      <c r="O23" s="108"/>
      <c r="P23" s="107">
        <v>0.29239999999999999</v>
      </c>
      <c r="Q23" s="91"/>
      <c r="R23" s="126">
        <v>0.1</v>
      </c>
    </row>
    <row r="24" spans="2:18" ht="18.75" x14ac:dyDescent="0.3">
      <c r="B24" t="s">
        <v>65</v>
      </c>
      <c r="D24" s="66">
        <v>150000</v>
      </c>
      <c r="E24" s="66"/>
      <c r="F24" s="66">
        <v>150000</v>
      </c>
      <c r="G24" s="66"/>
      <c r="H24" s="66">
        <v>150000</v>
      </c>
      <c r="I24" s="66"/>
      <c r="J24" s="66">
        <v>118755</v>
      </c>
      <c r="K24" s="66"/>
      <c r="L24" s="66">
        <v>119926</v>
      </c>
      <c r="M24" s="66"/>
      <c r="N24" s="66">
        <v>110955</v>
      </c>
      <c r="O24" s="66"/>
      <c r="P24" s="66">
        <v>72159</v>
      </c>
      <c r="Q24" s="66"/>
      <c r="R24" s="127">
        <v>50000</v>
      </c>
    </row>
    <row r="25" spans="2:18" ht="19.5" thickBot="1" x14ac:dyDescent="0.3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128"/>
    </row>
    <row r="26" spans="2:18" ht="19.5" thickBot="1" x14ac:dyDescent="0.35">
      <c r="B26" s="112"/>
      <c r="C26" s="112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7"/>
    </row>
    <row r="27" spans="2:18" ht="15.75" thickTop="1" x14ac:dyDescent="0.25">
      <c r="R27" s="47"/>
    </row>
    <row r="28" spans="2:18" x14ac:dyDescent="0.25">
      <c r="B28" s="106" t="s">
        <v>55</v>
      </c>
    </row>
    <row r="30" spans="2:18" x14ac:dyDescent="0.25">
      <c r="B30" t="s">
        <v>54</v>
      </c>
      <c r="D30" s="96">
        <f>'Detailed analysis by grant year'!J12</f>
        <v>391714594</v>
      </c>
      <c r="F30" s="59">
        <v>315610580</v>
      </c>
      <c r="G30" s="47"/>
      <c r="H30" s="59">
        <v>376654142</v>
      </c>
      <c r="I30" s="47"/>
      <c r="J30" s="59">
        <v>380840420</v>
      </c>
      <c r="K30" s="47"/>
      <c r="L30" s="59">
        <v>286848722</v>
      </c>
      <c r="M30" s="47"/>
      <c r="N30" s="59">
        <v>439892204</v>
      </c>
      <c r="O30" s="59"/>
      <c r="P30" s="59">
        <v>471209971</v>
      </c>
    </row>
    <row r="31" spans="2:18" x14ac:dyDescent="0.25">
      <c r="B31" t="s">
        <v>59</v>
      </c>
      <c r="D31" s="96">
        <f>'Detailed analysis by grant year'!J13</f>
        <v>391676884</v>
      </c>
      <c r="F31" s="59">
        <v>442510929</v>
      </c>
      <c r="G31" s="47"/>
      <c r="H31" s="59">
        <v>267345726</v>
      </c>
      <c r="I31" s="47"/>
      <c r="J31" s="59">
        <v>354078938</v>
      </c>
      <c r="K31" s="47"/>
      <c r="L31" s="59">
        <v>350040878</v>
      </c>
      <c r="M31" s="47"/>
      <c r="N31" s="59">
        <v>459286412</v>
      </c>
      <c r="O31" s="59"/>
      <c r="P31" s="59">
        <v>595931131</v>
      </c>
    </row>
    <row r="32" spans="2:18" x14ac:dyDescent="0.25">
      <c r="B32" t="s">
        <v>46</v>
      </c>
      <c r="D32" s="96">
        <f>'Detailed analysis by grant year'!J14</f>
        <v>628862932</v>
      </c>
      <c r="F32" s="59">
        <v>457074878</v>
      </c>
      <c r="G32" s="47"/>
      <c r="H32" s="59">
        <v>398353792</v>
      </c>
      <c r="I32" s="47"/>
      <c r="J32" s="59">
        <v>403309263</v>
      </c>
      <c r="K32" s="47"/>
      <c r="L32" s="59">
        <v>440838478</v>
      </c>
      <c r="M32" s="47"/>
      <c r="N32" s="59">
        <v>417205095</v>
      </c>
      <c r="O32" s="59"/>
      <c r="P32" s="59">
        <v>507811575</v>
      </c>
    </row>
    <row r="33" spans="2:16" x14ac:dyDescent="0.25">
      <c r="B33" t="s">
        <v>47</v>
      </c>
      <c r="D33" s="96">
        <f>'Detailed analysis by grant year'!J15</f>
        <v>556304170</v>
      </c>
      <c r="F33" s="59">
        <v>591815527</v>
      </c>
      <c r="G33" s="47"/>
      <c r="H33" s="59">
        <v>433404019</v>
      </c>
      <c r="I33" s="47"/>
      <c r="J33" s="59">
        <v>559793363</v>
      </c>
      <c r="K33" s="47"/>
      <c r="L33" s="59">
        <v>463145390</v>
      </c>
      <c r="M33" s="47"/>
      <c r="N33" s="59">
        <v>362542516</v>
      </c>
      <c r="O33" s="59"/>
      <c r="P33" s="59">
        <v>504657739</v>
      </c>
    </row>
    <row r="34" spans="2:16" x14ac:dyDescent="0.25">
      <c r="B34" t="s">
        <v>48</v>
      </c>
      <c r="D34" s="96">
        <f>'Detailed analysis by grant year'!J16</f>
        <v>423864787</v>
      </c>
      <c r="F34" s="59">
        <v>601137284</v>
      </c>
      <c r="G34" s="47"/>
      <c r="H34" s="59">
        <v>546856995</v>
      </c>
      <c r="I34" s="47"/>
      <c r="J34" s="59">
        <v>480996575</v>
      </c>
      <c r="K34" s="47"/>
      <c r="L34" s="59">
        <v>486608139</v>
      </c>
      <c r="M34" s="47"/>
      <c r="N34" s="59">
        <v>490121857</v>
      </c>
      <c r="O34" s="59"/>
      <c r="P34" s="59">
        <v>380099811</v>
      </c>
    </row>
    <row r="35" spans="2:16" x14ac:dyDescent="0.25">
      <c r="B35" t="s">
        <v>49</v>
      </c>
      <c r="D35" s="96">
        <f>'Detailed analysis by grant year'!J17</f>
        <v>438917415</v>
      </c>
      <c r="F35" s="59">
        <v>432748730</v>
      </c>
      <c r="G35" s="47"/>
      <c r="H35" s="59">
        <v>501053542</v>
      </c>
      <c r="I35" s="47"/>
      <c r="J35" s="59">
        <v>606721771</v>
      </c>
      <c r="K35" s="47"/>
      <c r="L35" s="59">
        <v>460244554</v>
      </c>
      <c r="M35" s="47"/>
      <c r="N35" s="59">
        <v>590630931</v>
      </c>
      <c r="O35" s="59"/>
      <c r="P35" s="59">
        <v>488264443</v>
      </c>
    </row>
    <row r="36" spans="2:16" x14ac:dyDescent="0.25">
      <c r="B36" t="s">
        <v>50</v>
      </c>
      <c r="D36" s="96">
        <f>'Detailed analysis by grant year'!J18</f>
        <v>567350572</v>
      </c>
      <c r="F36" s="59">
        <v>447993476</v>
      </c>
      <c r="G36" s="47"/>
      <c r="H36" s="59">
        <v>400538299</v>
      </c>
      <c r="I36" s="47"/>
      <c r="J36" s="59">
        <v>504828137</v>
      </c>
      <c r="K36" s="47"/>
      <c r="L36" s="59">
        <v>561166909</v>
      </c>
      <c r="M36" s="47"/>
      <c r="N36" s="59">
        <v>552912843</v>
      </c>
      <c r="O36" s="59"/>
      <c r="P36" s="59">
        <v>560671819</v>
      </c>
    </row>
    <row r="37" spans="2:16" x14ac:dyDescent="0.25">
      <c r="B37" t="s">
        <v>51</v>
      </c>
      <c r="D37" s="96">
        <f>'Detailed analysis by grant year'!J19</f>
        <v>9449706</v>
      </c>
      <c r="F37" s="47"/>
      <c r="G37" s="47"/>
      <c r="H37" s="47"/>
      <c r="I37" s="47"/>
      <c r="J37" s="99">
        <v>830097178</v>
      </c>
      <c r="K37" s="47"/>
      <c r="L37" s="99">
        <v>694716079</v>
      </c>
      <c r="M37" s="47"/>
      <c r="N37" s="59">
        <v>593910838</v>
      </c>
      <c r="O37" s="59"/>
      <c r="P37" s="59">
        <v>543644478</v>
      </c>
    </row>
    <row r="38" spans="2:16" x14ac:dyDescent="0.25">
      <c r="D38" s="96"/>
    </row>
    <row r="39" spans="2:16" x14ac:dyDescent="0.25">
      <c r="B39" t="s">
        <v>70</v>
      </c>
      <c r="D39" s="96">
        <f>SUM(D30:D38)</f>
        <v>3408141060</v>
      </c>
      <c r="F39" s="96">
        <f>SUM(F30:F38)</f>
        <v>3288891404</v>
      </c>
      <c r="H39" s="96">
        <f>SUM(H30:H38)</f>
        <v>2924206515</v>
      </c>
      <c r="J39" s="96">
        <f>SUM(J30:J38)</f>
        <v>4120665645</v>
      </c>
      <c r="K39" s="96"/>
      <c r="L39" s="96">
        <f>SUM(L30:L38)</f>
        <v>3743609149</v>
      </c>
      <c r="M39" s="96"/>
      <c r="N39" s="96">
        <f>SUM(N30:N38)</f>
        <v>3906502696</v>
      </c>
      <c r="O39" s="96"/>
      <c r="P39" s="96">
        <f>SUM(P30:P38)</f>
        <v>4052290967</v>
      </c>
    </row>
    <row r="41" spans="2:16" x14ac:dyDescent="0.25">
      <c r="B41" t="s">
        <v>52</v>
      </c>
      <c r="D41" s="95">
        <f>'Detailed analysis by grant year'!C21</f>
        <v>8.85</v>
      </c>
      <c r="F41" s="100">
        <f>'Detailed analysis by grant year'!C22</f>
        <v>10.16</v>
      </c>
      <c r="H41">
        <f>'Detailed analysis by grant year'!C22</f>
        <v>10.16</v>
      </c>
      <c r="J41" s="95">
        <f>'Detailed analysis by grant year'!C21</f>
        <v>8.85</v>
      </c>
      <c r="L41" s="95">
        <f>'Detailed analysis by grant year'!C21</f>
        <v>8.85</v>
      </c>
      <c r="N41" s="95">
        <f>'Detailed analysis by grant year'!C21</f>
        <v>8.85</v>
      </c>
      <c r="O41" s="95"/>
      <c r="P41" s="95">
        <f>'Detailed analysis by grant year'!C21</f>
        <v>8.85</v>
      </c>
    </row>
    <row r="43" spans="2:16" ht="18.75" x14ac:dyDescent="0.3">
      <c r="B43" s="102" t="s">
        <v>69</v>
      </c>
      <c r="C43" s="102"/>
      <c r="D43" s="101">
        <f>'Detailed analysis by grant year'!L24</f>
        <v>44.420413954814052</v>
      </c>
      <c r="E43" s="101"/>
      <c r="F43" s="101">
        <f>'Detailed analysis by grant year'!S24</f>
        <v>42.079279614104351</v>
      </c>
      <c r="G43" s="101"/>
      <c r="H43" s="101">
        <f>'Detailed analysis by grant year'!L50</f>
        <v>40.281224480660249</v>
      </c>
      <c r="I43" s="101"/>
      <c r="J43" s="101">
        <f>'Detailed analysis by grant year'!S50</f>
        <v>45.114545307087099</v>
      </c>
      <c r="K43" s="101"/>
      <c r="L43" s="101">
        <f>'Detailed analysis by grant year'!L76</f>
        <v>46.795685362983725</v>
      </c>
      <c r="M43" s="101"/>
      <c r="N43" s="101">
        <f>'Detailed analysis by grant year'!S76</f>
        <v>52.541041064161767</v>
      </c>
      <c r="O43" s="101"/>
      <c r="P43" s="101">
        <f>'Detailed analysis by grant year'!L102</f>
        <v>41.401692701530152</v>
      </c>
    </row>
    <row r="45" spans="2:16" x14ac:dyDescent="0.25">
      <c r="B45" s="103" t="s">
        <v>56</v>
      </c>
      <c r="C45" s="103"/>
    </row>
    <row r="46" spans="2:16" x14ac:dyDescent="0.25">
      <c r="B46" s="103" t="s">
        <v>57</v>
      </c>
      <c r="C46" s="103"/>
    </row>
    <row r="47" spans="2:16" x14ac:dyDescent="0.25">
      <c r="B47" s="103" t="s">
        <v>58</v>
      </c>
      <c r="C47" s="103"/>
    </row>
    <row r="48" spans="2:16" x14ac:dyDescent="0.25">
      <c r="B48" s="103" t="s">
        <v>73</v>
      </c>
      <c r="C48" s="103"/>
    </row>
    <row r="49" spans="2:18" ht="15.75" thickBot="1" x14ac:dyDescent="0.3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</row>
    <row r="50" spans="2:18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easury Document" ma:contentTypeID="0x010100C1F664D0940F85469AA434981483399000F4DE3D0581DC214CAE2C0C5F81A0F4A1" ma:contentTypeVersion="18024" ma:contentTypeDescription="" ma:contentTypeScope="" ma:versionID="4c691484db0587abdfe4ab72c7a41ed7">
  <xsd:schema xmlns:xsd="http://www.w3.org/2001/XMLSchema" xmlns:xs="http://www.w3.org/2001/XMLSchema" xmlns:p="http://schemas.microsoft.com/office/2006/metadata/properties" xmlns:ns1="http://schemas.microsoft.com/sharepoint/v3" xmlns:ns2="0f563589-9cf9-4143-b1eb-fb0534803d38" xmlns:ns3="768d4202-dccb-4ec8-a008-7abfadedbb89" targetNamespace="http://schemas.microsoft.com/office/2006/metadata/properties" ma:root="true" ma:fieldsID="8d642d00000b9e0bea28e7de4a21388a" ns1:_="" ns2:_="" ns3:_="">
    <xsd:import namespace="http://schemas.microsoft.com/sharepoint/v3"/>
    <xsd:import namespace="0f563589-9cf9-4143-b1eb-fb0534803d38"/>
    <xsd:import namespace="768d4202-dccb-4ec8-a008-7abfadedbb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b508a4dc5e84436a0fe496b536466aa" minOccurs="0"/>
                <xsd:element ref="ns2:TaxCatchAll" minOccurs="0"/>
                <xsd:element ref="ns2:TaxCatchAllLabel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63589-9cf9-4143-b1eb-fb0534803d3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744a181c-ef96-49fb-bb25-caaa70f3be67}" ma:internalName="TaxCatchAll" ma:showField="CatchAllData" ma:web="768d4202-dccb-4ec8-a008-7abfadedb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44a181c-ef96-49fb-bb25-caaa70f3be67}" ma:internalName="TaxCatchAllLabel" ma:readOnly="true" ma:showField="CatchAllDataLabel" ma:web="768d4202-dccb-4ec8-a008-7abfadedb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4202-dccb-4ec8-a008-7abfadedbb89" elementFormDefault="qualified">
    <xsd:import namespace="http://schemas.microsoft.com/office/2006/documentManagement/types"/>
    <xsd:import namespace="http://schemas.microsoft.com/office/infopath/2007/PartnerControls"/>
    <xsd:element name="lb508a4dc5e84436a0fe496b536466aa" ma:index="11" nillable="true" ma:taxonomy="true" ma:internalName="lb508a4dc5e84436a0fe496b536466aa" ma:taxonomyFieldName="TSYRecordClass" ma:displayName="Record Class" ma:readOnly="false" ma:default="2;#TSY RA-8733 - Destroy 10 years after action completed|18609896-7c96-418c-bbc1-db3751e97ee3" ma:fieldId="{5b508a4d-c5e8-4436-a0fe-496b536466aa}" ma:sspId="77b7a547-5880-464f-83f8-cefe583c3af4" ma:termSetId="8c8a1de6-dea5-4e66-bd5a-b7b3daae0f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b330c83-4366-417f-afba-a14519698ff5" ContentTypeId="0x010100E726210826AA43828690450C811EB923009CA11FFD1E014DF4B1FA162D0F61129800536EFC5E36A043E99FB960C1AA37427A" PreviousValue="false"/>
</file>

<file path=customXml/item3.xml><?xml version="1.0" encoding="utf-8"?>
<?mso-contentType ?>
<p:Policy xmlns:p="office.server.policy" id="" local="true">
  <p:Name>Treasury Document</p:Name>
  <p:Description/>
  <p:Statement/>
  <p:PolicyItems>
    <p:PolicyItem featureId="Microsoft.Office.RecordsManagement.PolicyFeatures.PolicyAudit" staticId="0x010100C1F664D0940F85469AA4349814833990|1757814118" UniqueId="99e9c385-4551-4564-9f26-636b8fa6da1c">
      <p:Name>Auditing</p:Name>
      <p:Description>Audits user actions on documents and list items to the Audit Log.</p:Description>
      <p:CustomData>
        <Audit>
          <Update/>
          <DeleteRestore/>
        </Audit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563589-9cf9-4143-b1eb-fb0534803d38">
      <Value>3</Value>
    </TaxCatchAll>
    <_dlc_DocId xmlns="0f563589-9cf9-4143-b1eb-fb0534803d38">2019MINS-957875958-340</_dlc_DocId>
    <_dlc_DocIdUrl xmlns="0f563589-9cf9-4143-b1eb-fb0534803d38">
      <Url>http://tweb/sites/mins/activity/prebudget/_layouts/15/DocIdRedir.aspx?ID=2019MINS-957875958-340</Url>
      <Description>2019MINS-957875958-340</Description>
    </_dlc_DocIdUrl>
    <lb508a4dc5e84436a0fe496b536466aa xmlns="768d4202-dccb-4ec8-a008-7abfadedbb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TSY RA-8730 - Retain as national archives</TermName>
          <TermId xmlns="http://schemas.microsoft.com/office/infopath/2007/PartnerControls">77f958b9-774b-411f-8853-551bb899336c</TermId>
        </TermInfo>
      </Terms>
    </lb508a4dc5e84436a0fe496b536466aa>
  </documentManagement>
</p:properties>
</file>

<file path=customXml/itemProps1.xml><?xml version="1.0" encoding="utf-8"?>
<ds:datastoreItem xmlns:ds="http://schemas.openxmlformats.org/officeDocument/2006/customXml" ds:itemID="{049612A6-41CA-410B-82F5-A56275DA47B3}"/>
</file>

<file path=customXml/itemProps2.xml><?xml version="1.0" encoding="utf-8"?>
<ds:datastoreItem xmlns:ds="http://schemas.openxmlformats.org/officeDocument/2006/customXml" ds:itemID="{0BFB2036-3B69-41CE-B401-3360A50C876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D7FA69A-FA73-4C86-9B68-D8A388E7A643}"/>
</file>

<file path=customXml/itemProps4.xml><?xml version="1.0" encoding="utf-8"?>
<ds:datastoreItem xmlns:ds="http://schemas.openxmlformats.org/officeDocument/2006/customXml" ds:itemID="{F1DF8682-52DC-4489-8192-78F37281BC8C}"/>
</file>

<file path=customXml/itemProps5.xml><?xml version="1.0" encoding="utf-8"?>
<ds:datastoreItem xmlns:ds="http://schemas.openxmlformats.org/officeDocument/2006/customXml" ds:itemID="{20D02D7F-7179-4273-B85E-6286FA40FCC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D358686-C853-4678-AB40-C87764FC23C9}">
  <ds:schemaRefs>
    <ds:schemaRef ds:uri="http://schemas.openxmlformats.org/package/2006/metadata/core-properties"/>
    <ds:schemaRef ds:uri="http://purl.org/dc/dcmitype/"/>
    <ds:schemaRef ds:uri="e544e5cc-ab70-42e1-849e-1a0f8bb1f4ef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0f563589-9cf9-4143-b1eb-fb0534803d38"/>
    <ds:schemaRef ds:uri="http://schemas.microsoft.com/office/infopath/2007/PartnerControls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Detailed analysis by grant year</vt:lpstr>
      <vt:lpstr>Claim year comparison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Campbell</dc:creator>
  <cp:lastModifiedBy>Mcavoy, Emma</cp:lastModifiedBy>
  <dcterms:created xsi:type="dcterms:W3CDTF">2018-01-17T01:38:21Z</dcterms:created>
  <dcterms:modified xsi:type="dcterms:W3CDTF">2019-02-04T22:30:40Z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0x010100C1F664D0940F85469AA434981483399000F4DE3D0581DC214CAE2C0C5F81A0F4A1</vt:lpwstr>
  </property>
  <property fmtid="{D5CDD505-2E9C-101B-9397-08002B2CF9AE}" pid="3" name="TSYRecordClass">
    <vt:lpwstr>3;#TSY RA-8730 - Retain as national archives|77f958b9-774b-411f-8853-551bb899336c</vt:lpwstr>
  </property>
  <property fmtid="{D5CDD505-2E9C-101B-9397-08002B2CF9AE}" pid="4" name="_dlc_DocIdItemGuid">
    <vt:lpwstr>76abe3a3-0a9a-45a0-8105-7873580fd41b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{a3a280d1-e8f1-4ce7-94f0-aaa2322da0dd}</vt:lpwstr>
  </property>
  <property fmtid="{D5CDD505-2E9C-101B-9397-08002B2CF9AE}" pid="7" name="RecordPoint_ActiveItemListId">
    <vt:lpwstr>{11a07c86-5882-407a-83c1-3607840816f8}</vt:lpwstr>
  </property>
  <property fmtid="{D5CDD505-2E9C-101B-9397-08002B2CF9AE}" pid="8" name="RecordPoint_ActiveItemUniqueId">
    <vt:lpwstr>{b29ce59b-1ad1-47c9-8d24-1afd77fadd61}</vt:lpwstr>
  </property>
  <property fmtid="{D5CDD505-2E9C-101B-9397-08002B2CF9AE}" pid="9" name="RecordPoint_ActiveItemWebId">
    <vt:lpwstr>{2af1fd9f-9360-4de3-abf2-ccd65f89a90c}</vt:lpwstr>
  </property>
  <property fmtid="{D5CDD505-2E9C-101B-9397-08002B2CF9AE}" pid="10" name="RecordPoint_RecordNumberSubmitted">
    <vt:lpwstr>R0001991430</vt:lpwstr>
  </property>
  <property fmtid="{D5CDD505-2E9C-101B-9397-08002B2CF9AE}" pid="11" name="RecordPoint_SubmissionCompleted">
    <vt:lpwstr>2019-02-05T09:50:50.7106699+11:00</vt:lpwstr>
  </property>
</Properties>
</file>